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ADMIN\RFP_Grants\OAA\2026\"/>
    </mc:Choice>
  </mc:AlternateContent>
  <xr:revisionPtr revIDLastSave="0" documentId="8_{DD31AF76-40B1-4B6E-85CF-85273966E58B}" xr6:coauthVersionLast="47" xr6:coauthVersionMax="47" xr10:uidLastSave="{00000000-0000-0000-0000-000000000000}"/>
  <bookViews>
    <workbookView xWindow="30810" yWindow="2355" windowWidth="21600" windowHeight="11295" xr2:uid="{00000000-000D-0000-FFFF-FFFF00000000}"/>
  </bookViews>
  <sheets>
    <sheet name="Operating Budget" sheetId="1" r:id="rId1"/>
  </sheets>
  <definedNames>
    <definedName name="C.I.A.">#REF!</definedName>
    <definedName name="C.I.B.">#REF!</definedName>
    <definedName name="C.II.A.">'Operating Budget'!$A$3</definedName>
    <definedName name="C.IV.A.1">#REF!</definedName>
    <definedName name="C.IV.B.">#REF!</definedName>
    <definedName name="C.V.A.">#REF!</definedName>
    <definedName name="C.VI.A.2">#REF!</definedName>
    <definedName name="C.VI.A.3">#REF!</definedName>
    <definedName name="C.VII.A">#REF!</definedName>
    <definedName name="Certification">#REF!</definedName>
    <definedName name="_xlnm.Print_Area" localSheetId="0">'Operating Budget'!$A$1:$AB$197</definedName>
    <definedName name="_xlnm.Print_Titles" localSheetId="0">'Operating Budget'!$3:$5</definedName>
    <definedName name="Z_141D05B7_EC03_4D54_B355_18B30B95005C_.wvu.PrintTitles" localSheetId="0" hidden="1">'Operating Budget'!$3:$5</definedName>
    <definedName name="Z_9D049D41_B99B_4004_9128_98F3E5E97A8B_.wvu.PrintTitles" localSheetId="0" hidden="1">'Operating Budget'!$3:$5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75" i="1" l="1"/>
  <c r="X178" i="1" s="1"/>
  <c r="W175" i="1"/>
  <c r="W178" i="1" s="1"/>
  <c r="U175" i="1"/>
  <c r="U178" i="1" s="1"/>
  <c r="T175" i="1"/>
  <c r="T179" i="1" s="1"/>
  <c r="S175" i="1"/>
  <c r="S178" i="1" s="1"/>
  <c r="R175" i="1"/>
  <c r="R178" i="1" s="1"/>
  <c r="Q175" i="1"/>
  <c r="Q178" i="1" s="1"/>
  <c r="P175" i="1"/>
  <c r="P178" i="1" s="1"/>
  <c r="O175" i="1"/>
  <c r="O178" i="1" s="1"/>
  <c r="N175" i="1"/>
  <c r="N178" i="1" s="1"/>
  <c r="M175" i="1"/>
  <c r="M178" i="1" s="1"/>
  <c r="L175" i="1"/>
  <c r="L178" i="1" s="1"/>
  <c r="K175" i="1"/>
  <c r="K178" i="1" s="1"/>
  <c r="J175" i="1"/>
  <c r="J178" i="1" s="1"/>
  <c r="I175" i="1"/>
  <c r="I178" i="1" s="1"/>
  <c r="H175" i="1"/>
  <c r="H178" i="1" s="1"/>
  <c r="G175" i="1"/>
  <c r="G178" i="1" s="1"/>
  <c r="F175" i="1"/>
  <c r="F178" i="1" s="1"/>
  <c r="E175" i="1"/>
  <c r="E178" i="1" s="1"/>
  <c r="D175" i="1"/>
  <c r="D178" i="1" s="1"/>
  <c r="D180" i="1" s="1"/>
  <c r="Z174" i="1"/>
  <c r="AA174" i="1" s="1"/>
  <c r="Y174" i="1"/>
  <c r="Z173" i="1"/>
  <c r="AA173" i="1" s="1"/>
  <c r="Y173" i="1"/>
  <c r="Z172" i="1"/>
  <c r="AA172" i="1" s="1"/>
  <c r="Y172" i="1"/>
  <c r="AA171" i="1"/>
  <c r="Z171" i="1"/>
  <c r="Y171" i="1"/>
  <c r="Z170" i="1"/>
  <c r="AA170" i="1" s="1"/>
  <c r="Y170" i="1"/>
  <c r="Z169" i="1"/>
  <c r="AA169" i="1" s="1"/>
  <c r="Y169" i="1"/>
  <c r="Y168" i="1"/>
  <c r="C168" i="1"/>
  <c r="Z167" i="1"/>
  <c r="AA167" i="1" s="1"/>
  <c r="X158" i="1"/>
  <c r="W158" i="1"/>
  <c r="U158" i="1"/>
  <c r="T158" i="1"/>
  <c r="S158" i="1"/>
  <c r="R158" i="1"/>
  <c r="Q158" i="1"/>
  <c r="P158" i="1"/>
  <c r="O158" i="1"/>
  <c r="N158" i="1"/>
  <c r="M158" i="1"/>
  <c r="L158" i="1"/>
  <c r="K158" i="1"/>
  <c r="H158" i="1"/>
  <c r="G158" i="1"/>
  <c r="F158" i="1"/>
  <c r="E158" i="1"/>
  <c r="D158" i="1"/>
  <c r="C17" i="1" s="1"/>
  <c r="Z157" i="1"/>
  <c r="AA157" i="1" s="1"/>
  <c r="Y157" i="1"/>
  <c r="Z156" i="1"/>
  <c r="AA156" i="1" s="1"/>
  <c r="Y156" i="1"/>
  <c r="Z155" i="1"/>
  <c r="AA155" i="1" s="1"/>
  <c r="Y155" i="1"/>
  <c r="Z154" i="1"/>
  <c r="Y154" i="1"/>
  <c r="Z153" i="1"/>
  <c r="AA153" i="1" s="1"/>
  <c r="Y153" i="1"/>
  <c r="Z152" i="1"/>
  <c r="AA152" i="1" s="1"/>
  <c r="Y152" i="1"/>
  <c r="Z151" i="1"/>
  <c r="AA151" i="1" s="1"/>
  <c r="Y151" i="1"/>
  <c r="Z150" i="1"/>
  <c r="AA150" i="1" s="1"/>
  <c r="Y150" i="1"/>
  <c r="Z149" i="1"/>
  <c r="AA149" i="1" s="1"/>
  <c r="Y149" i="1"/>
  <c r="Z148" i="1"/>
  <c r="AA148" i="1" s="1"/>
  <c r="Y148" i="1"/>
  <c r="Z147" i="1"/>
  <c r="AA147" i="1" s="1"/>
  <c r="Y147" i="1"/>
  <c r="Z146" i="1"/>
  <c r="AA146" i="1" s="1"/>
  <c r="Y146" i="1"/>
  <c r="Z145" i="1"/>
  <c r="AA145" i="1" s="1"/>
  <c r="V145" i="1"/>
  <c r="Y145" i="1" s="1"/>
  <c r="Z144" i="1"/>
  <c r="AA144" i="1" s="1"/>
  <c r="Y144" i="1"/>
  <c r="Z143" i="1"/>
  <c r="AA143" i="1" s="1"/>
  <c r="Y143" i="1"/>
  <c r="Z142" i="1"/>
  <c r="AA142" i="1" s="1"/>
  <c r="Y142" i="1"/>
  <c r="V141" i="1"/>
  <c r="I158" i="1"/>
  <c r="C141" i="1"/>
  <c r="Z141" i="1" s="1"/>
  <c r="AA141" i="1" s="1"/>
  <c r="AA140" i="1"/>
  <c r="Z140" i="1"/>
  <c r="Y140" i="1"/>
  <c r="Z139" i="1"/>
  <c r="V139" i="1"/>
  <c r="C138" i="1"/>
  <c r="Z138" i="1" s="1"/>
  <c r="X131" i="1"/>
  <c r="W131" i="1"/>
  <c r="U131" i="1"/>
  <c r="T131" i="1"/>
  <c r="S131" i="1"/>
  <c r="R131" i="1"/>
  <c r="Q131" i="1"/>
  <c r="P131" i="1"/>
  <c r="O131" i="1"/>
  <c r="N131" i="1"/>
  <c r="M131" i="1"/>
  <c r="L131" i="1"/>
  <c r="K131" i="1"/>
  <c r="I131" i="1"/>
  <c r="H131" i="1"/>
  <c r="G131" i="1"/>
  <c r="F131" i="1"/>
  <c r="E131" i="1"/>
  <c r="D131" i="1"/>
  <c r="Z130" i="1"/>
  <c r="AA130" i="1" s="1"/>
  <c r="Y130" i="1"/>
  <c r="Z129" i="1"/>
  <c r="AA129" i="1" s="1"/>
  <c r="V129" i="1"/>
  <c r="V131" i="1" s="1"/>
  <c r="Y128" i="1"/>
  <c r="C128" i="1"/>
  <c r="Z128" i="1" s="1"/>
  <c r="AA128" i="1" s="1"/>
  <c r="Z127" i="1"/>
  <c r="Y127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I119" i="1"/>
  <c r="H119" i="1"/>
  <c r="G119" i="1"/>
  <c r="F119" i="1"/>
  <c r="E119" i="1"/>
  <c r="D119" i="1"/>
  <c r="C119" i="1"/>
  <c r="Z118" i="1"/>
  <c r="AA118" i="1" s="1"/>
  <c r="Y118" i="1"/>
  <c r="Z117" i="1"/>
  <c r="X110" i="1"/>
  <c r="W110" i="1"/>
  <c r="U110" i="1"/>
  <c r="T110" i="1"/>
  <c r="S110" i="1"/>
  <c r="R110" i="1"/>
  <c r="Q110" i="1"/>
  <c r="P110" i="1"/>
  <c r="O110" i="1"/>
  <c r="N110" i="1"/>
  <c r="M110" i="1"/>
  <c r="L110" i="1"/>
  <c r="K110" i="1"/>
  <c r="I110" i="1"/>
  <c r="H110" i="1"/>
  <c r="G110" i="1"/>
  <c r="F110" i="1"/>
  <c r="E110" i="1"/>
  <c r="Z109" i="1"/>
  <c r="AA109" i="1" s="1"/>
  <c r="Y109" i="1"/>
  <c r="Z108" i="1"/>
  <c r="AA108" i="1" s="1"/>
  <c r="Y108" i="1"/>
  <c r="V107" i="1"/>
  <c r="V110" i="1" s="1"/>
  <c r="D107" i="1"/>
  <c r="D110" i="1" s="1"/>
  <c r="C14" i="1" s="1"/>
  <c r="C107" i="1"/>
  <c r="Z107" i="1" s="1"/>
  <c r="Z110" i="1" s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Z99" i="1"/>
  <c r="AA99" i="1" s="1"/>
  <c r="Y99" i="1"/>
  <c r="Z98" i="1"/>
  <c r="AA98" i="1" s="1"/>
  <c r="Y98" i="1"/>
  <c r="Z97" i="1"/>
  <c r="AA97" i="1" s="1"/>
  <c r="Y97" i="1"/>
  <c r="Z96" i="1"/>
  <c r="AA96" i="1" s="1"/>
  <c r="Y96" i="1"/>
  <c r="Z95" i="1"/>
  <c r="AA95" i="1" s="1"/>
  <c r="Y95" i="1"/>
  <c r="X88" i="1"/>
  <c r="W88" i="1"/>
  <c r="U88" i="1"/>
  <c r="T88" i="1"/>
  <c r="S88" i="1"/>
  <c r="Q88" i="1"/>
  <c r="P88" i="1"/>
  <c r="O88" i="1"/>
  <c r="N88" i="1"/>
  <c r="M88" i="1"/>
  <c r="L88" i="1"/>
  <c r="K88" i="1"/>
  <c r="I88" i="1"/>
  <c r="H88" i="1"/>
  <c r="G88" i="1"/>
  <c r="F88" i="1"/>
  <c r="E88" i="1"/>
  <c r="Z87" i="1"/>
  <c r="AA87" i="1" s="1"/>
  <c r="Y87" i="1"/>
  <c r="Z86" i="1"/>
  <c r="AA86" i="1" s="1"/>
  <c r="Y86" i="1"/>
  <c r="Z85" i="1"/>
  <c r="AA85" i="1" s="1"/>
  <c r="Y85" i="1"/>
  <c r="Y84" i="1"/>
  <c r="D84" i="1"/>
  <c r="C84" i="1"/>
  <c r="V83" i="1"/>
  <c r="V88" i="1" s="1"/>
  <c r="R83" i="1"/>
  <c r="R88" i="1" s="1"/>
  <c r="Y83" i="1"/>
  <c r="C83" i="1"/>
  <c r="X75" i="1"/>
  <c r="W75" i="1"/>
  <c r="U75" i="1"/>
  <c r="T75" i="1"/>
  <c r="O75" i="1"/>
  <c r="K75" i="1"/>
  <c r="Z74" i="1"/>
  <c r="AA74" i="1" s="1"/>
  <c r="V74" i="1"/>
  <c r="Y74" i="1" s="1"/>
  <c r="V73" i="1"/>
  <c r="S73" i="1"/>
  <c r="S75" i="1" s="1"/>
  <c r="R73" i="1"/>
  <c r="R75" i="1" s="1"/>
  <c r="Q73" i="1"/>
  <c r="Q75" i="1" s="1"/>
  <c r="P73" i="1"/>
  <c r="P75" i="1" s="1"/>
  <c r="N73" i="1"/>
  <c r="N75" i="1" s="1"/>
  <c r="M73" i="1"/>
  <c r="M75" i="1" s="1"/>
  <c r="L75" i="1"/>
  <c r="J75" i="1"/>
  <c r="I75" i="1"/>
  <c r="H75" i="1"/>
  <c r="G73" i="1"/>
  <c r="G75" i="1" s="1"/>
  <c r="F73" i="1"/>
  <c r="F75" i="1" s="1"/>
  <c r="E73" i="1"/>
  <c r="D73" i="1"/>
  <c r="D75" i="1" s="1"/>
  <c r="C73" i="1"/>
  <c r="C75" i="1" s="1"/>
  <c r="Z72" i="1"/>
  <c r="AA72" i="1" s="1"/>
  <c r="Y72" i="1"/>
  <c r="Z71" i="1"/>
  <c r="AA71" i="1" s="1"/>
  <c r="V71" i="1"/>
  <c r="Y71" i="1" s="1"/>
  <c r="Z70" i="1"/>
  <c r="AA70" i="1" s="1"/>
  <c r="V70" i="1"/>
  <c r="Y70" i="1" s="1"/>
  <c r="K63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J62" i="1"/>
  <c r="I62" i="1"/>
  <c r="H62" i="1"/>
  <c r="G62" i="1"/>
  <c r="F62" i="1"/>
  <c r="E62" i="1"/>
  <c r="D62" i="1"/>
  <c r="C62" i="1"/>
  <c r="Z61" i="1"/>
  <c r="Y61" i="1"/>
  <c r="B52" i="1"/>
  <c r="X51" i="1"/>
  <c r="X63" i="1" s="1"/>
  <c r="W51" i="1"/>
  <c r="W63" i="1" s="1"/>
  <c r="V51" i="1"/>
  <c r="V63" i="1" s="1"/>
  <c r="U51" i="1"/>
  <c r="T51" i="1"/>
  <c r="T63" i="1" s="1"/>
  <c r="T76" i="1" s="1"/>
  <c r="S51" i="1"/>
  <c r="R51" i="1"/>
  <c r="Q51" i="1"/>
  <c r="Q63" i="1" s="1"/>
  <c r="P51" i="1"/>
  <c r="O51" i="1"/>
  <c r="O63" i="1" s="1"/>
  <c r="N51" i="1"/>
  <c r="M51" i="1"/>
  <c r="L51" i="1"/>
  <c r="L63" i="1" s="1"/>
  <c r="K51" i="1"/>
  <c r="J51" i="1"/>
  <c r="I51" i="1"/>
  <c r="I63" i="1" s="1"/>
  <c r="H51" i="1"/>
  <c r="G51" i="1"/>
  <c r="F51" i="1"/>
  <c r="F63" i="1" s="1"/>
  <c r="E51" i="1"/>
  <c r="D51" i="1"/>
  <c r="D63" i="1" s="1"/>
  <c r="D76" i="1" s="1"/>
  <c r="C11" i="1" s="1"/>
  <c r="C51" i="1"/>
  <c r="Z50" i="1"/>
  <c r="AA50" i="1" s="1"/>
  <c r="Y50" i="1"/>
  <c r="Z49" i="1"/>
  <c r="AA49" i="1" s="1"/>
  <c r="Y49" i="1"/>
  <c r="Z48" i="1"/>
  <c r="AA48" i="1" s="1"/>
  <c r="Y48" i="1"/>
  <c r="Z47" i="1"/>
  <c r="AA47" i="1" s="1"/>
  <c r="Y47" i="1"/>
  <c r="Z46" i="1"/>
  <c r="AA46" i="1" s="1"/>
  <c r="Y46" i="1"/>
  <c r="Z45" i="1"/>
  <c r="AA45" i="1" s="1"/>
  <c r="Y45" i="1"/>
  <c r="Z44" i="1"/>
  <c r="AA44" i="1" s="1"/>
  <c r="Y44" i="1"/>
  <c r="Z43" i="1"/>
  <c r="AA43" i="1" s="1"/>
  <c r="Y43" i="1"/>
  <c r="Z42" i="1"/>
  <c r="AA42" i="1" s="1"/>
  <c r="Y42" i="1"/>
  <c r="Z41" i="1"/>
  <c r="AA41" i="1" s="1"/>
  <c r="Y41" i="1"/>
  <c r="Z40" i="1"/>
  <c r="AA40" i="1" s="1"/>
  <c r="Y40" i="1"/>
  <c r="Z39" i="1"/>
  <c r="AA39" i="1" s="1"/>
  <c r="Y39" i="1"/>
  <c r="Z38" i="1"/>
  <c r="AA38" i="1" s="1"/>
  <c r="Y38" i="1"/>
  <c r="Z37" i="1"/>
  <c r="AA37" i="1" s="1"/>
  <c r="Y37" i="1"/>
  <c r="Z36" i="1"/>
  <c r="AA36" i="1" s="1"/>
  <c r="Y36" i="1"/>
  <c r="Z35" i="1"/>
  <c r="AA35" i="1" s="1"/>
  <c r="Y35" i="1"/>
  <c r="Z34" i="1"/>
  <c r="AA34" i="1" s="1"/>
  <c r="Y34" i="1"/>
  <c r="Z33" i="1"/>
  <c r="AA33" i="1" s="1"/>
  <c r="Y33" i="1"/>
  <c r="Z32" i="1"/>
  <c r="AA32" i="1" s="1"/>
  <c r="Y32" i="1"/>
  <c r="Z31" i="1"/>
  <c r="AA31" i="1" s="1"/>
  <c r="Y31" i="1"/>
  <c r="Z30" i="1"/>
  <c r="AA30" i="1" s="1"/>
  <c r="Y30" i="1"/>
  <c r="Z29" i="1"/>
  <c r="AA29" i="1" s="1"/>
  <c r="Y29" i="1"/>
  <c r="Z28" i="1"/>
  <c r="AA28" i="1" s="1"/>
  <c r="Y28" i="1"/>
  <c r="Z27" i="1"/>
  <c r="AA27" i="1" s="1"/>
  <c r="Y27" i="1"/>
  <c r="Z26" i="1"/>
  <c r="AA26" i="1" s="1"/>
  <c r="Y26" i="1"/>
  <c r="Z25" i="1"/>
  <c r="AA25" i="1" s="1"/>
  <c r="Y25" i="1"/>
  <c r="C18" i="1"/>
  <c r="C15" i="1"/>
  <c r="C13" i="1"/>
  <c r="C10" i="1"/>
  <c r="C9" i="1"/>
  <c r="Y62" i="1" l="1"/>
  <c r="Z73" i="1"/>
  <c r="AA73" i="1" s="1"/>
  <c r="M63" i="1"/>
  <c r="X76" i="1"/>
  <c r="C110" i="1"/>
  <c r="N63" i="1"/>
  <c r="P63" i="1"/>
  <c r="R63" i="1"/>
  <c r="S63" i="1"/>
  <c r="S76" i="1" s="1"/>
  <c r="S159" i="1" s="1"/>
  <c r="S179" i="1" s="1"/>
  <c r="S180" i="1" s="1"/>
  <c r="U63" i="1"/>
  <c r="U76" i="1" s="1"/>
  <c r="U159" i="1" s="1"/>
  <c r="U179" i="1" s="1"/>
  <c r="U180" i="1" s="1"/>
  <c r="Y88" i="1"/>
  <c r="C63" i="1"/>
  <c r="C76" i="1" s="1"/>
  <c r="Y141" i="1"/>
  <c r="E63" i="1"/>
  <c r="Q76" i="1"/>
  <c r="Q159" i="1" s="1"/>
  <c r="Q179" i="1" s="1"/>
  <c r="Q180" i="1" s="1"/>
  <c r="Z75" i="1"/>
  <c r="AA75" i="1" s="1"/>
  <c r="J158" i="1"/>
  <c r="C88" i="1"/>
  <c r="G63" i="1"/>
  <c r="G76" i="1" s="1"/>
  <c r="G159" i="1" s="1"/>
  <c r="G179" i="1" s="1"/>
  <c r="G180" i="1" s="1"/>
  <c r="K76" i="1"/>
  <c r="K159" i="1" s="1"/>
  <c r="K179" i="1" s="1"/>
  <c r="K180" i="1" s="1"/>
  <c r="T159" i="1"/>
  <c r="Z119" i="1"/>
  <c r="AA119" i="1" s="1"/>
  <c r="T178" i="1"/>
  <c r="T180" i="1" s="1"/>
  <c r="J63" i="1"/>
  <c r="Y100" i="1"/>
  <c r="AA117" i="1"/>
  <c r="Y73" i="1"/>
  <c r="Y75" i="1" s="1"/>
  <c r="AA110" i="1"/>
  <c r="Z131" i="1"/>
  <c r="Z100" i="1"/>
  <c r="AA100" i="1" s="1"/>
  <c r="O76" i="1"/>
  <c r="O159" i="1" s="1"/>
  <c r="O179" i="1" s="1"/>
  <c r="O180" i="1" s="1"/>
  <c r="H63" i="1"/>
  <c r="H76" i="1" s="1"/>
  <c r="H159" i="1" s="1"/>
  <c r="H179" i="1" s="1"/>
  <c r="H180" i="1" s="1"/>
  <c r="L76" i="1"/>
  <c r="L159" i="1" s="1"/>
  <c r="L179" i="1" s="1"/>
  <c r="L180" i="1" s="1"/>
  <c r="F76" i="1"/>
  <c r="F159" i="1" s="1"/>
  <c r="F179" i="1" s="1"/>
  <c r="F180" i="1" s="1"/>
  <c r="M76" i="1"/>
  <c r="M159" i="1" s="1"/>
  <c r="M179" i="1" s="1"/>
  <c r="M180" i="1" s="1"/>
  <c r="I76" i="1"/>
  <c r="I159" i="1" s="1"/>
  <c r="I179" i="1" s="1"/>
  <c r="I180" i="1" s="1"/>
  <c r="W76" i="1"/>
  <c r="W159" i="1" s="1"/>
  <c r="W179" i="1" s="1"/>
  <c r="W180" i="1" s="1"/>
  <c r="P76" i="1"/>
  <c r="P159" i="1" s="1"/>
  <c r="P179" i="1" s="1"/>
  <c r="P180" i="1" s="1"/>
  <c r="Y51" i="1"/>
  <c r="Y63" i="1" s="1"/>
  <c r="N76" i="1"/>
  <c r="N159" i="1" s="1"/>
  <c r="N179" i="1" s="1"/>
  <c r="N180" i="1" s="1"/>
  <c r="C8" i="1"/>
  <c r="AA139" i="1"/>
  <c r="V75" i="1"/>
  <c r="V76" i="1" s="1"/>
  <c r="AA61" i="1"/>
  <c r="Z62" i="1"/>
  <c r="AA62" i="1" s="1"/>
  <c r="D88" i="1"/>
  <c r="C12" i="1" s="1"/>
  <c r="Z84" i="1"/>
  <c r="AA84" i="1" s="1"/>
  <c r="Y129" i="1"/>
  <c r="Y131" i="1" s="1"/>
  <c r="J131" i="1"/>
  <c r="X159" i="1"/>
  <c r="X179" i="1" s="1"/>
  <c r="X180" i="1" s="1"/>
  <c r="Z51" i="1"/>
  <c r="R76" i="1"/>
  <c r="Y117" i="1"/>
  <c r="Y119" i="1" s="1"/>
  <c r="J119" i="1"/>
  <c r="Z158" i="1"/>
  <c r="Z159" i="1" s="1"/>
  <c r="C16" i="1"/>
  <c r="Z83" i="1"/>
  <c r="AA107" i="1"/>
  <c r="C131" i="1"/>
  <c r="AA138" i="1"/>
  <c r="C175" i="1"/>
  <c r="C178" i="1" s="1"/>
  <c r="J181" i="1" s="1"/>
  <c r="Z168" i="1"/>
  <c r="E75" i="1"/>
  <c r="J76" i="1"/>
  <c r="J88" i="1"/>
  <c r="J110" i="1"/>
  <c r="Y107" i="1"/>
  <c r="Y110" i="1" s="1"/>
  <c r="C158" i="1"/>
  <c r="V158" i="1"/>
  <c r="V159" i="1" s="1"/>
  <c r="V179" i="1" s="1"/>
  <c r="R159" i="1"/>
  <c r="R179" i="1" s="1"/>
  <c r="R180" i="1" s="1"/>
  <c r="V175" i="1"/>
  <c r="V178" i="1" s="1"/>
  <c r="Y167" i="1"/>
  <c r="Y175" i="1" s="1"/>
  <c r="Y178" i="1" s="1"/>
  <c r="AA127" i="1"/>
  <c r="Y138" i="1"/>
  <c r="Y139" i="1"/>
  <c r="E76" i="1" l="1"/>
  <c r="E159" i="1" s="1"/>
  <c r="E179" i="1" s="1"/>
  <c r="E180" i="1" s="1"/>
  <c r="O181" i="1"/>
  <c r="D159" i="1"/>
  <c r="AA131" i="1"/>
  <c r="J159" i="1"/>
  <c r="J179" i="1" s="1"/>
  <c r="J180" i="1" s="1"/>
  <c r="Y76" i="1"/>
  <c r="Z179" i="1"/>
  <c r="Y158" i="1"/>
  <c r="F181" i="1"/>
  <c r="C159" i="1"/>
  <c r="C179" i="1" s="1"/>
  <c r="C180" i="1" s="1"/>
  <c r="W181" i="1"/>
  <c r="G181" i="1"/>
  <c r="Z63" i="1"/>
  <c r="AA51" i="1"/>
  <c r="H181" i="1"/>
  <c r="K181" i="1"/>
  <c r="S181" i="1"/>
  <c r="U181" i="1"/>
  <c r="M181" i="1"/>
  <c r="Y181" i="1"/>
  <c r="Z175" i="1"/>
  <c r="AA168" i="1"/>
  <c r="AA83" i="1"/>
  <c r="Z88" i="1"/>
  <c r="AA88" i="1" s="1"/>
  <c r="R181" i="1"/>
  <c r="C181" i="1"/>
  <c r="T181" i="1"/>
  <c r="L181" i="1"/>
  <c r="D181" i="1"/>
  <c r="P181" i="1"/>
  <c r="E181" i="1"/>
  <c r="X181" i="1"/>
  <c r="Q181" i="1"/>
  <c r="I181" i="1"/>
  <c r="V181" i="1"/>
  <c r="V180" i="1"/>
  <c r="N181" i="1"/>
  <c r="AA158" i="1"/>
  <c r="Y159" i="1" l="1"/>
  <c r="Y179" i="1" s="1"/>
  <c r="Y180" i="1" s="1"/>
  <c r="Z178" i="1"/>
  <c r="AA175" i="1"/>
  <c r="AA63" i="1"/>
  <c r="Z76" i="1"/>
  <c r="AA76" i="1" s="1"/>
  <c r="AA159" i="1"/>
  <c r="Z181" i="1" l="1"/>
  <c r="Z180" i="1"/>
</calcChain>
</file>

<file path=xl/sharedStrings.xml><?xml version="1.0" encoding="utf-8"?>
<sst xmlns="http://schemas.openxmlformats.org/spreadsheetml/2006/main" count="528" uniqueCount="143">
  <si>
    <t>:)</t>
  </si>
  <si>
    <t>NAME OF AGENCY:</t>
  </si>
  <si>
    <t>PERSONNEL SALARIES</t>
  </si>
  <si>
    <t>IN KIND SALARIES</t>
  </si>
  <si>
    <t>FRINGE BENEFITS</t>
  </si>
  <si>
    <t>TOTAL PERSONNEL COSTS</t>
  </si>
  <si>
    <t>TRAVEL</t>
  </si>
  <si>
    <t>BUILDING SPACE</t>
  </si>
  <si>
    <t>COMMUNICATIONS &amp; UTILITIES</t>
  </si>
  <si>
    <t>PRINTING &amp; SUPPLIES</t>
  </si>
  <si>
    <t>EQUIPMENT</t>
  </si>
  <si>
    <t>OTHER</t>
  </si>
  <si>
    <t>REVENUE</t>
  </si>
  <si>
    <t>1. PERSONNEL SALARIES</t>
  </si>
  <si>
    <t>TITLE and NAME</t>
  </si>
  <si>
    <t>GROSS</t>
  </si>
  <si>
    <t>TOTAL</t>
  </si>
  <si>
    <t>OAA</t>
  </si>
  <si>
    <t>ADI</t>
  </si>
  <si>
    <t>OTHER 
PROJECTS</t>
  </si>
  <si>
    <t>%</t>
  </si>
  <si>
    <t>AVAILABLE</t>
  </si>
  <si>
    <t>BUDGET</t>
  </si>
  <si>
    <t>IIIB</t>
  </si>
  <si>
    <t>PROJECTS</t>
  </si>
  <si>
    <t>ALLOCATED</t>
  </si>
  <si>
    <t>HOURS</t>
  </si>
  <si>
    <t>CURRENT</t>
  </si>
  <si>
    <t>PROPOSED</t>
  </si>
  <si>
    <t>FUNDS</t>
  </si>
  <si>
    <t>CHANGE</t>
  </si>
  <si>
    <t>OVERTIME</t>
  </si>
  <si>
    <t>BONUS</t>
  </si>
  <si>
    <t>ACCRUED LEAVE</t>
  </si>
  <si>
    <t>MEALS</t>
  </si>
  <si>
    <t>TOTAL PERSONNEL SALARIES</t>
  </si>
  <si>
    <t>TOTAL GROSS AVAIL HRS</t>
  </si>
  <si>
    <t xml:space="preserve">Note 1:  Enter on the last page of this Operating Budget a narrative explanation of the use of funds (salary and other) from Title IIIB Set Aside (LAN), Title IIIB I&amp;R, and any other DOEA-funded special project (separately for each category of funds).  Break out federally funded expenditures from other sources of funding. </t>
  </si>
  <si>
    <t>Note 2:   Enter on the last page of this Operating Budget a narrative explanation of bonuses paid that ensures they have been approved by the Board of Directors.</t>
  </si>
  <si>
    <t>2.  IN-KIND SALARIES</t>
  </si>
  <si>
    <t>VOLUNTEER</t>
  </si>
  <si>
    <t>TOTAL IN-KIND SALARIES</t>
  </si>
  <si>
    <t>TOTAL SALARIES</t>
  </si>
  <si>
    <t>3. FRINGE BENEFITS</t>
  </si>
  <si>
    <t xml:space="preserve"> RETIREMENT</t>
  </si>
  <si>
    <t xml:space="preserve"> SOCIAL SECURITY</t>
  </si>
  <si>
    <t xml:space="preserve"> FL UNEMP. COMP.</t>
  </si>
  <si>
    <t>EMPLOYEE INSURANCE</t>
  </si>
  <si>
    <t>WORKERS COMPENSATION</t>
  </si>
  <si>
    <t>TOTAL FRINGE BENEFITS</t>
  </si>
  <si>
    <t>4. TRAVEL</t>
  </si>
  <si>
    <t>TRAVEL (In-Area)</t>
  </si>
  <si>
    <t>TRAVEL (In-State/Conferences) - please identify)*</t>
  </si>
  <si>
    <t>TRAVEL (Out-of State/Conferences) - please identify*</t>
  </si>
  <si>
    <t>BOARD &amp; VOLUNTEER</t>
  </si>
  <si>
    <t>IN-KIND TRAVEL</t>
  </si>
  <si>
    <t>TOTAL TRAVEL</t>
  </si>
  <si>
    <t>* Note 3:  For each  in and out-of-state conference budgeted, enter on the last page of this Operating Budget, the name of the conference, the number attending, and the amount budgeted.</t>
  </si>
  <si>
    <t>5. BUILDING SPACE</t>
  </si>
  <si>
    <t xml:space="preserve"> </t>
  </si>
  <si>
    <t>DEPRECIATION - BUILDING</t>
  </si>
  <si>
    <t>INSURANCE</t>
  </si>
  <si>
    <t>REPAIR AND MAINTENANCE</t>
  </si>
  <si>
    <t>RENT, LEASE, OR MORTGAGE</t>
  </si>
  <si>
    <t xml:space="preserve">    IN-KIND </t>
  </si>
  <si>
    <t>TOTAL BUILDING SPACE</t>
  </si>
  <si>
    <t>6. COMMUNICATIONS &amp; UTILITIES</t>
  </si>
  <si>
    <t>TELEPHONE / INTERNET</t>
  </si>
  <si>
    <t>POSTAGE</t>
  </si>
  <si>
    <t>UTILITIES</t>
  </si>
  <si>
    <t>TOTAL COMMUNICATION &amp; UTILITIES</t>
  </si>
  <si>
    <t>7.  PRINTING &amp; SUPPLIES</t>
  </si>
  <si>
    <t>GENERAL OFFICE SUPPLIES / EQUIPMENT UNDER $1,500.00</t>
  </si>
  <si>
    <t>PRINTING AND REPRODUCTION</t>
  </si>
  <si>
    <t>TOTAL PRINTING &amp; SUPPLIES</t>
  </si>
  <si>
    <t>Note 4:  Enter on the last page of this Operating Budget a narrative explanation of planned expenditures in the communications category.</t>
  </si>
  <si>
    <t>8.  EQUIPMENT</t>
  </si>
  <si>
    <t>DEPRECIATION - EQUIPMENT</t>
  </si>
  <si>
    <t>OFFICE FURN / EQUIPT. OVER $1,000.00</t>
  </si>
  <si>
    <t>COMPUTER HARDWARE/SOFTWARE</t>
  </si>
  <si>
    <t>PROGRAM EQUIPMENT (Total)</t>
  </si>
  <si>
    <t>TOTAL EQUIPMENT</t>
  </si>
  <si>
    <t>9. OTHER COSTS (UNIQUE TO AAA)</t>
  </si>
  <si>
    <t>LEGAL, AUDIT, PROFESSIONAL FEES</t>
  </si>
  <si>
    <t>PROGRAM SUPPLIES</t>
  </si>
  <si>
    <t>Temporary Administrative Services</t>
  </si>
  <si>
    <t>ADVERTISING</t>
  </si>
  <si>
    <t>Storage Room Rental</t>
  </si>
  <si>
    <t>DUES AND SUBSCRIPTIONS</t>
  </si>
  <si>
    <t>Payroll Processing Fees</t>
  </si>
  <si>
    <t>Volunteer Retention/Training</t>
  </si>
  <si>
    <t>FUNDRAISER / SPECIAL EVENT</t>
  </si>
  <si>
    <t>MISCELLANEOUS (List items in row below)</t>
  </si>
  <si>
    <t>Office Security</t>
  </si>
  <si>
    <t>Staff Recruiting/Training</t>
  </si>
  <si>
    <t>Consultants</t>
  </si>
  <si>
    <t>Vendor Agreements/MOUS</t>
  </si>
  <si>
    <t>Background Screening</t>
  </si>
  <si>
    <t>IT Maintenance &amp; Support</t>
  </si>
  <si>
    <t>Software Upgrades &amp; Support</t>
  </si>
  <si>
    <t>Volunteer Insurance</t>
  </si>
  <si>
    <t>Bank and Finance Charges</t>
  </si>
  <si>
    <t>TOTAL OTHER COSTS</t>
  </si>
  <si>
    <t>TOTAL ALL COSTS</t>
  </si>
  <si>
    <t>Note 5:  Enter on the last page of this Operating Budget a narrative explanation for planned purchases/expenditures in the equipment and other categories in the Title IIIB Set Aside, Title IIIB I&amp;R, and any other DOEA-funded special project (separately for each category of funds).  Break out federally funded expenditures from other sources of funding.</t>
  </si>
  <si>
    <t>10. REVENUES</t>
  </si>
  <si>
    <t>FEDERAL</t>
  </si>
  <si>
    <t>STATE GENERAL REVENUE</t>
  </si>
  <si>
    <t>PROGRAM INCOME</t>
  </si>
  <si>
    <t xml:space="preserve">OTHER FUNDS </t>
  </si>
  <si>
    <t>LOCAL CASH</t>
  </si>
  <si>
    <t xml:space="preserve">     (MATCH)</t>
  </si>
  <si>
    <t>IN-KIND</t>
  </si>
  <si>
    <t>TOTAL REVENUES</t>
  </si>
  <si>
    <t>TOTAL EXPENSES</t>
  </si>
  <si>
    <t>TOTAL REVENUE - EXPENSES</t>
  </si>
  <si>
    <t>PERCENT REVENUE</t>
  </si>
  <si>
    <t>PERCENT CHANGE</t>
  </si>
  <si>
    <t>OPERATING BUDGET SUMMARY AND ALLOCATIONS</t>
  </si>
  <si>
    <r>
      <t xml:space="preserve">Instructions:  Update all aqua-colored cells as appropriate.  Purple cells are calculated automatically. Use the categories provided, adding rows as needed. </t>
    </r>
    <r>
      <rPr>
        <i/>
        <sz val="12"/>
        <rFont val="Times New Roman"/>
        <family val="1"/>
      </rPr>
      <t xml:space="preserve">Note: When adding rows, formulae in Total columns need to be added.  Notes 1 through 5 describe narrative details needed for specific sections.  Include the narratives at the end of the worksheet. </t>
    </r>
  </si>
  <si>
    <t>Staff Name #1- EXEC DIRECTOR</t>
  </si>
  <si>
    <t>Staff Name #2- CASE MANAGER</t>
  </si>
  <si>
    <t xml:space="preserve">Staff Name #3- FISCAL </t>
  </si>
  <si>
    <t>Staff Name #4- OAA COORDINATOR</t>
  </si>
  <si>
    <t>Funding</t>
  </si>
  <si>
    <t>AAANF</t>
  </si>
  <si>
    <t xml:space="preserve">OAA </t>
  </si>
  <si>
    <t>C1</t>
  </si>
  <si>
    <t xml:space="preserve">OAA   </t>
  </si>
  <si>
    <t>C2</t>
  </si>
  <si>
    <t>Board</t>
  </si>
  <si>
    <t>EHEAEP</t>
  </si>
  <si>
    <t>Apps.</t>
  </si>
  <si>
    <t>MLTC</t>
  </si>
  <si>
    <t xml:space="preserve">Other </t>
  </si>
  <si>
    <t>Stream</t>
  </si>
  <si>
    <t>Other</t>
  </si>
  <si>
    <t>Projects</t>
  </si>
  <si>
    <t xml:space="preserve">ALL COSTS ARE SPLITS ACROSS </t>
  </si>
  <si>
    <t>PROGRAMS PER MIP DISTRIBUTION %s</t>
  </si>
  <si>
    <t>Notes Boxes For Board Explanations</t>
  </si>
  <si>
    <t>BUDGET YEAR - 2024</t>
  </si>
  <si>
    <t>Board of Director's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</si>
</sst>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6" x14ac:knownFonts="1">
    <font>
      <sz val="10"/>
      <name val="Arial"/>
    </font>
    <font>
      <sz val="10"/>
      <name val="Times New Roman"/>
      <family val="1"/>
    </font>
    <font>
      <sz val="12"/>
      <name val="Arial"/>
      <family val="2"/>
    </font>
    <font>
      <sz val="12"/>
      <color theme="0" tint="-0.34998626667073579"/>
      <name val="Times New Roman Greek"/>
      <family val="1"/>
      <charset val="161"/>
    </font>
    <font>
      <b/>
      <sz val="14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lightTrellis"/>
    </fill>
    <fill>
      <patternFill patternType="solid">
        <fgColor rgb="FFE3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textRotation="18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8" fillId="0" borderId="1" xfId="0" applyNumberFormat="1" applyFont="1" applyBorder="1"/>
    <xf numFmtId="0" fontId="8" fillId="0" borderId="1" xfId="0" applyFont="1" applyBorder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Continuous" wrapText="1"/>
    </xf>
    <xf numFmtId="164" fontId="8" fillId="2" borderId="4" xfId="0" applyNumberFormat="1" applyFont="1" applyFill="1" applyBorder="1"/>
    <xf numFmtId="0" fontId="8" fillId="0" borderId="0" xfId="0" applyFont="1" applyAlignment="1">
      <alignment horizontal="centerContinuous" wrapText="1"/>
    </xf>
    <xf numFmtId="0" fontId="8" fillId="0" borderId="5" xfId="0" applyFont="1" applyBorder="1"/>
    <xf numFmtId="0" fontId="8" fillId="0" borderId="6" xfId="0" applyFont="1" applyBorder="1"/>
    <xf numFmtId="164" fontId="8" fillId="2" borderId="7" xfId="0" applyNumberFormat="1" applyFont="1" applyFill="1" applyBorder="1"/>
    <xf numFmtId="0" fontId="8" fillId="0" borderId="8" xfId="0" applyFont="1" applyBorder="1"/>
    <xf numFmtId="0" fontId="8" fillId="0" borderId="9" xfId="0" applyFont="1" applyBorder="1"/>
    <xf numFmtId="164" fontId="8" fillId="2" borderId="10" xfId="0" applyNumberFormat="1" applyFont="1" applyFill="1" applyBorder="1"/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" fillId="3" borderId="15" xfId="0" applyFont="1" applyFill="1" applyBorder="1"/>
    <xf numFmtId="3" fontId="1" fillId="3" borderId="16" xfId="0" applyNumberFormat="1" applyFont="1" applyFill="1" applyBorder="1"/>
    <xf numFmtId="165" fontId="1" fillId="3" borderId="16" xfId="0" applyNumberFormat="1" applyFont="1" applyFill="1" applyBorder="1"/>
    <xf numFmtId="165" fontId="1" fillId="2" borderId="16" xfId="0" applyNumberFormat="1" applyFont="1" applyFill="1" applyBorder="1"/>
    <xf numFmtId="165" fontId="1" fillId="2" borderId="17" xfId="0" applyNumberFormat="1" applyFont="1" applyFill="1" applyBorder="1"/>
    <xf numFmtId="9" fontId="1" fillId="2" borderId="18" xfId="1" applyFont="1" applyFill="1" applyBorder="1"/>
    <xf numFmtId="0" fontId="1" fillId="0" borderId="15" xfId="0" applyFont="1" applyBorder="1"/>
    <xf numFmtId="0" fontId="11" fillId="0" borderId="15" xfId="0" applyFont="1" applyBorder="1" applyAlignment="1">
      <alignment wrapText="1"/>
    </xf>
    <xf numFmtId="0" fontId="8" fillId="4" borderId="16" xfId="0" applyFont="1" applyFill="1" applyBorder="1"/>
    <xf numFmtId="0" fontId="11" fillId="0" borderId="19" xfId="0" applyFont="1" applyBorder="1" applyAlignment="1">
      <alignment wrapText="1"/>
    </xf>
    <xf numFmtId="0" fontId="1" fillId="2" borderId="20" xfId="0" applyFont="1" applyFill="1" applyBorder="1"/>
    <xf numFmtId="0" fontId="8" fillId="4" borderId="20" xfId="0" applyFont="1" applyFill="1" applyBorder="1"/>
    <xf numFmtId="0" fontId="8" fillId="4" borderId="21" xfId="0" applyFont="1" applyFill="1" applyBorder="1"/>
    <xf numFmtId="0" fontId="8" fillId="4" borderId="22" xfId="0" applyFont="1" applyFill="1" applyBorder="1"/>
    <xf numFmtId="0" fontId="8" fillId="0" borderId="0" xfId="0" applyFont="1" applyAlignment="1">
      <alignment horizontal="left" wrapText="1"/>
    </xf>
    <xf numFmtId="0" fontId="1" fillId="0" borderId="24" xfId="0" applyFont="1" applyBorder="1"/>
    <xf numFmtId="0" fontId="1" fillId="0" borderId="25" xfId="0" applyFont="1" applyBorder="1"/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" fillId="0" borderId="29" xfId="0" applyFont="1" applyBorder="1" applyAlignment="1">
      <alignment wrapText="1"/>
    </xf>
    <xf numFmtId="0" fontId="1" fillId="0" borderId="0" xfId="0" applyFont="1" applyAlignment="1">
      <alignment wrapText="1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4" fillId="0" borderId="35" xfId="0" applyFont="1" applyBorder="1" applyAlignment="1">
      <alignment horizontal="center" vertical="top"/>
    </xf>
    <xf numFmtId="0" fontId="14" fillId="0" borderId="36" xfId="0" applyFont="1" applyBorder="1" applyAlignment="1">
      <alignment horizontal="center" vertical="top"/>
    </xf>
    <xf numFmtId="0" fontId="14" fillId="0" borderId="37" xfId="0" applyFont="1" applyBorder="1" applyAlignment="1">
      <alignment horizontal="center" vertical="top"/>
    </xf>
    <xf numFmtId="0" fontId="1" fillId="0" borderId="38" xfId="0" applyFont="1" applyBorder="1" applyAlignment="1">
      <alignment wrapText="1"/>
    </xf>
    <xf numFmtId="165" fontId="1" fillId="3" borderId="35" xfId="0" applyNumberFormat="1" applyFont="1" applyFill="1" applyBorder="1"/>
    <xf numFmtId="165" fontId="1" fillId="2" borderId="35" xfId="0" applyNumberFormat="1" applyFont="1" applyFill="1" applyBorder="1"/>
    <xf numFmtId="165" fontId="1" fillId="2" borderId="36" xfId="0" applyNumberFormat="1" applyFont="1" applyFill="1" applyBorder="1"/>
    <xf numFmtId="9" fontId="1" fillId="2" borderId="37" xfId="1" applyFont="1" applyFill="1" applyBorder="1"/>
    <xf numFmtId="0" fontId="1" fillId="0" borderId="39" xfId="0" applyFont="1" applyBorder="1" applyAlignment="1">
      <alignment wrapText="1"/>
    </xf>
    <xf numFmtId="0" fontId="1" fillId="0" borderId="40" xfId="0" applyFont="1" applyBorder="1" applyAlignment="1">
      <alignment wrapText="1"/>
    </xf>
    <xf numFmtId="165" fontId="1" fillId="2" borderId="41" xfId="0" applyNumberFormat="1" applyFont="1" applyFill="1" applyBorder="1"/>
    <xf numFmtId="0" fontId="1" fillId="0" borderId="42" xfId="0" applyFont="1" applyBorder="1" applyAlignment="1">
      <alignment wrapText="1"/>
    </xf>
    <xf numFmtId="0" fontId="1" fillId="0" borderId="43" xfId="0" applyFont="1" applyBorder="1" applyAlignment="1">
      <alignment wrapText="1"/>
    </xf>
    <xf numFmtId="165" fontId="1" fillId="2" borderId="44" xfId="0" applyNumberFormat="1" applyFont="1" applyFill="1" applyBorder="1"/>
    <xf numFmtId="165" fontId="1" fillId="2" borderId="45" xfId="0" applyNumberFormat="1" applyFont="1" applyFill="1" applyBorder="1"/>
    <xf numFmtId="9" fontId="1" fillId="2" borderId="46" xfId="1" applyFont="1" applyFill="1" applyBorder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5" xfId="0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top"/>
    </xf>
    <xf numFmtId="0" fontId="11" fillId="0" borderId="37" xfId="0" applyFont="1" applyBorder="1" applyAlignment="1">
      <alignment horizontal="center" vertical="top"/>
    </xf>
    <xf numFmtId="0" fontId="11" fillId="0" borderId="39" xfId="0" applyFont="1" applyBorder="1" applyAlignment="1">
      <alignment wrapText="1"/>
    </xf>
    <xf numFmtId="0" fontId="11" fillId="0" borderId="40" xfId="0" applyFont="1" applyBorder="1" applyAlignment="1">
      <alignment wrapText="1"/>
    </xf>
    <xf numFmtId="0" fontId="11" fillId="0" borderId="42" xfId="0" applyFont="1" applyBorder="1" applyAlignment="1">
      <alignment wrapText="1"/>
    </xf>
    <xf numFmtId="0" fontId="11" fillId="0" borderId="43" xfId="0" applyFont="1" applyBorder="1" applyAlignment="1">
      <alignment wrapText="1"/>
    </xf>
    <xf numFmtId="9" fontId="1" fillId="2" borderId="22" xfId="1" applyFont="1" applyFill="1" applyBorder="1"/>
    <xf numFmtId="0" fontId="1" fillId="0" borderId="0" xfId="0" applyFont="1" applyAlignment="1">
      <alignment horizontal="center"/>
    </xf>
    <xf numFmtId="0" fontId="1" fillId="0" borderId="29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6" xfId="0" applyFont="1" applyBorder="1" applyAlignment="1">
      <alignment wrapText="1"/>
    </xf>
    <xf numFmtId="0" fontId="11" fillId="0" borderId="47" xfId="0" applyFont="1" applyBorder="1" applyAlignment="1">
      <alignment wrapText="1"/>
    </xf>
    <xf numFmtId="0" fontId="15" fillId="0" borderId="0" xfId="0" applyFont="1"/>
    <xf numFmtId="0" fontId="1" fillId="0" borderId="39" xfId="0" applyFont="1" applyBorder="1"/>
    <xf numFmtId="0" fontId="1" fillId="0" borderId="6" xfId="0" applyFont="1" applyBorder="1"/>
    <xf numFmtId="0" fontId="11" fillId="0" borderId="0" xfId="0" applyFont="1" applyAlignment="1">
      <alignment wrapText="1"/>
    </xf>
    <xf numFmtId="165" fontId="1" fillId="0" borderId="0" xfId="0" applyNumberFormat="1" applyFont="1"/>
    <xf numFmtId="0" fontId="15" fillId="0" borderId="0" xfId="0" applyFont="1" applyAlignment="1">
      <alignment wrapText="1"/>
    </xf>
    <xf numFmtId="0" fontId="11" fillId="0" borderId="48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50" xfId="0" applyFont="1" applyBorder="1" applyAlignment="1">
      <alignment horizontal="center" vertical="top"/>
    </xf>
    <xf numFmtId="165" fontId="1" fillId="2" borderId="50" xfId="0" applyNumberFormat="1" applyFont="1" applyFill="1" applyBorder="1"/>
    <xf numFmtId="0" fontId="1" fillId="0" borderId="3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5" borderId="39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165" fontId="1" fillId="6" borderId="16" xfId="0" applyNumberFormat="1" applyFont="1" applyFill="1" applyBorder="1"/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5" borderId="34" xfId="0" applyFont="1" applyFill="1" applyBorder="1" applyAlignment="1">
      <alignment vertical="center" wrapText="1"/>
    </xf>
    <xf numFmtId="0" fontId="11" fillId="0" borderId="6" xfId="0" applyFont="1" applyBorder="1" applyAlignment="1">
      <alignment wrapText="1"/>
    </xf>
    <xf numFmtId="165" fontId="1" fillId="2" borderId="51" xfId="0" applyNumberFormat="1" applyFont="1" applyFill="1" applyBorder="1"/>
    <xf numFmtId="165" fontId="1" fillId="2" borderId="46" xfId="0" applyNumberFormat="1" applyFont="1" applyFill="1" applyBorder="1"/>
    <xf numFmtId="0" fontId="8" fillId="0" borderId="0" xfId="0" applyFont="1" applyAlignment="1">
      <alignment wrapText="1"/>
    </xf>
    <xf numFmtId="0" fontId="1" fillId="0" borderId="52" xfId="0" applyFont="1" applyBorder="1"/>
    <xf numFmtId="0" fontId="1" fillId="0" borderId="53" xfId="0" applyFont="1" applyBorder="1"/>
    <xf numFmtId="0" fontId="11" fillId="0" borderId="42" xfId="0" applyFont="1" applyBorder="1"/>
    <xf numFmtId="0" fontId="11" fillId="0" borderId="47" xfId="0" applyFont="1" applyBorder="1"/>
    <xf numFmtId="165" fontId="1" fillId="2" borderId="44" xfId="0" applyNumberFormat="1" applyFont="1" applyFill="1" applyBorder="1" applyAlignment="1">
      <alignment vertical="center"/>
    </xf>
    <xf numFmtId="165" fontId="1" fillId="2" borderId="45" xfId="0" applyNumberFormat="1" applyFont="1" applyFill="1" applyBorder="1" applyAlignment="1">
      <alignment vertical="center"/>
    </xf>
    <xf numFmtId="0" fontId="11" fillId="0" borderId="54" xfId="0" applyFont="1" applyBorder="1"/>
    <xf numFmtId="0" fontId="11" fillId="0" borderId="55" xfId="0" applyFont="1" applyBorder="1"/>
    <xf numFmtId="165" fontId="1" fillId="2" borderId="56" xfId="0" applyNumberFormat="1" applyFont="1" applyFill="1" applyBorder="1"/>
    <xf numFmtId="165" fontId="1" fillId="2" borderId="57" xfId="0" applyNumberFormat="1" applyFont="1" applyFill="1" applyBorder="1"/>
    <xf numFmtId="0" fontId="11" fillId="0" borderId="39" xfId="0" applyFont="1" applyBorder="1"/>
    <xf numFmtId="0" fontId="11" fillId="0" borderId="6" xfId="0" applyFont="1" applyBorder="1"/>
    <xf numFmtId="0" fontId="1" fillId="2" borderId="16" xfId="0" applyFont="1" applyFill="1" applyBorder="1"/>
    <xf numFmtId="0" fontId="1" fillId="2" borderId="41" xfId="0" applyFont="1" applyFill="1" applyBorder="1"/>
    <xf numFmtId="0" fontId="11" fillId="0" borderId="58" xfId="0" applyFont="1" applyBorder="1"/>
    <xf numFmtId="0" fontId="11" fillId="0" borderId="59" xfId="0" applyFont="1" applyBorder="1"/>
    <xf numFmtId="0" fontId="1" fillId="1" borderId="44" xfId="0" applyFont="1" applyFill="1" applyBorder="1"/>
    <xf numFmtId="0" fontId="1" fillId="1" borderId="45" xfId="0" applyFont="1" applyFill="1" applyBorder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8" fillId="7" borderId="0" xfId="0" applyFont="1" applyFill="1" applyAlignment="1">
      <alignment horizontal="left" wrapText="1"/>
    </xf>
    <xf numFmtId="0" fontId="1" fillId="7" borderId="0" xfId="0" applyFont="1" applyFill="1"/>
    <xf numFmtId="0" fontId="14" fillId="0" borderId="12" xfId="0" applyFont="1" applyBorder="1" applyAlignment="1">
      <alignment horizontal="center" wrapText="1"/>
    </xf>
    <xf numFmtId="0" fontId="14" fillId="0" borderId="16" xfId="0" applyFont="1" applyBorder="1" applyAlignment="1">
      <alignment horizontal="center"/>
    </xf>
    <xf numFmtId="0" fontId="14" fillId="0" borderId="16" xfId="0" applyFont="1" applyBorder="1" applyAlignment="1">
      <alignment horizontal="center" vertical="top" wrapText="1"/>
    </xf>
    <xf numFmtId="0" fontId="11" fillId="3" borderId="15" xfId="0" applyFont="1" applyFill="1" applyBorder="1"/>
    <xf numFmtId="0" fontId="1" fillId="0" borderId="39" xfId="0" applyFont="1" applyBorder="1" applyAlignment="1">
      <alignment wrapText="1"/>
    </xf>
    <xf numFmtId="0" fontId="0" fillId="0" borderId="6" xfId="0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23" xfId="0" applyFon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" fillId="0" borderId="3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42" xfId="0" applyFont="1" applyBorder="1" applyAlignment="1">
      <alignment horizontal="left" wrapText="1"/>
    </xf>
    <xf numFmtId="0" fontId="11" fillId="0" borderId="47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8" fillId="3" borderId="60" xfId="0" applyFont="1" applyFill="1" applyBorder="1" applyAlignment="1">
      <alignment horizontal="left" vertical="top" wrapText="1"/>
    </xf>
    <xf numFmtId="0" fontId="0" fillId="3" borderId="61" xfId="0" applyFill="1" applyBorder="1" applyAlignment="1">
      <alignment horizontal="left" vertical="top" wrapText="1"/>
    </xf>
    <xf numFmtId="0" fontId="0" fillId="3" borderId="62" xfId="0" applyFill="1" applyBorder="1" applyAlignment="1">
      <alignment horizontal="left" vertical="top" wrapText="1"/>
    </xf>
    <xf numFmtId="0" fontId="8" fillId="7" borderId="0" xfId="0" applyFont="1" applyFill="1" applyAlignment="1">
      <alignment horizontal="left" wrapText="1"/>
    </xf>
    <xf numFmtId="0" fontId="8" fillId="3" borderId="61" xfId="0" applyFont="1" applyFill="1" applyBorder="1" applyAlignment="1">
      <alignment horizontal="left" vertical="top" wrapText="1"/>
    </xf>
    <xf numFmtId="0" fontId="8" fillId="3" borderId="62" xfId="0" applyFont="1" applyFill="1" applyBorder="1" applyAlignment="1">
      <alignment horizontal="left" vertical="top" wrapText="1"/>
    </xf>
    <xf numFmtId="0" fontId="2" fillId="3" borderId="61" xfId="0" applyFont="1" applyFill="1" applyBorder="1" applyAlignment="1">
      <alignment horizontal="left" vertical="top" wrapText="1"/>
    </xf>
    <xf numFmtId="0" fontId="2" fillId="3" borderId="62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0">
    <pageSetUpPr fitToPage="1"/>
  </sheetPr>
  <dimension ref="A1:AC199"/>
  <sheetViews>
    <sheetView showGridLines="0" tabSelected="1" view="pageBreakPreview" zoomScaleNormal="100" zoomScaleSheetLayoutView="100" workbookViewId="0">
      <selection activeCell="K173" sqref="K173"/>
    </sheetView>
  </sheetViews>
  <sheetFormatPr defaultColWidth="9.140625" defaultRowHeight="12.75" x14ac:dyDescent="0.2"/>
  <cols>
    <col min="1" max="1" width="41.5703125" style="1" customWidth="1"/>
    <col min="2" max="2" width="15" style="1" customWidth="1"/>
    <col min="3" max="3" width="16" style="1" customWidth="1"/>
    <col min="4" max="4" width="12.85546875" style="1" customWidth="1"/>
    <col min="5" max="5" width="10.5703125" style="1" customWidth="1"/>
    <col min="6" max="9" width="9.7109375" style="1" customWidth="1"/>
    <col min="10" max="10" width="11.140625" style="1" customWidth="1"/>
    <col min="11" max="11" width="12.85546875" style="1" customWidth="1"/>
    <col min="12" max="15" width="9.7109375" style="1" customWidth="1"/>
    <col min="16" max="16" width="11.28515625" style="1" customWidth="1"/>
    <col min="17" max="17" width="12.7109375" style="1" customWidth="1"/>
    <col min="18" max="19" width="10.5703125" style="1" customWidth="1"/>
    <col min="20" max="20" width="10.85546875" style="1" customWidth="1"/>
    <col min="21" max="21" width="10.42578125" style="1" customWidth="1"/>
    <col min="22" max="22" width="13.85546875" style="1" customWidth="1"/>
    <col min="23" max="23" width="13.140625" style="1" customWidth="1"/>
    <col min="24" max="24" width="13.7109375" style="1" customWidth="1"/>
    <col min="25" max="25" width="14.85546875" style="1" customWidth="1"/>
    <col min="26" max="26" width="14.140625" style="1" customWidth="1"/>
    <col min="27" max="27" width="11.5703125" style="1" customWidth="1"/>
    <col min="28" max="16384" width="9.140625" style="1"/>
  </cols>
  <sheetData>
    <row r="1" spans="1:29" s="2" customFormat="1" ht="15" x14ac:dyDescent="0.2">
      <c r="A1" s="1"/>
      <c r="AC1" s="3" t="s">
        <v>0</v>
      </c>
    </row>
    <row r="2" spans="1:29" customFormat="1" ht="6" customHeight="1" x14ac:dyDescent="0.2"/>
    <row r="3" spans="1:29" ht="20.25" customHeight="1" x14ac:dyDescent="0.4">
      <c r="A3" s="4" t="s">
        <v>118</v>
      </c>
      <c r="B3" s="5"/>
      <c r="C3" s="5"/>
      <c r="D3" s="5"/>
      <c r="E3" s="6"/>
      <c r="G3" s="5"/>
      <c r="H3" s="5"/>
      <c r="I3" s="5"/>
      <c r="J3" s="5"/>
      <c r="K3" s="5"/>
      <c r="L3" s="5"/>
      <c r="M3" s="5"/>
      <c r="N3" s="6"/>
      <c r="O3" s="6"/>
      <c r="P3" s="6"/>
      <c r="U3" s="7"/>
    </row>
    <row r="4" spans="1:29" ht="18" customHeight="1" x14ac:dyDescent="0.25">
      <c r="A4" s="8" t="s">
        <v>1</v>
      </c>
      <c r="B4" s="9"/>
      <c r="C4" s="10"/>
      <c r="D4" s="10"/>
      <c r="F4" s="8"/>
      <c r="G4" s="8"/>
      <c r="H4" s="8"/>
      <c r="I4" s="8"/>
      <c r="J4" s="8"/>
      <c r="K4" s="8"/>
      <c r="L4" s="8"/>
      <c r="M4" s="8"/>
      <c r="N4" s="8"/>
      <c r="O4" s="8"/>
    </row>
    <row r="5" spans="1:29" ht="16.5" customHeight="1" x14ac:dyDescent="0.35">
      <c r="A5" s="8" t="s">
        <v>141</v>
      </c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29" ht="161.25" customHeight="1" x14ac:dyDescent="0.25">
      <c r="A6" s="157" t="s">
        <v>119</v>
      </c>
      <c r="B6" s="157"/>
      <c r="C6" s="157"/>
      <c r="D6" s="157"/>
      <c r="E6" s="157"/>
      <c r="F6" s="157"/>
      <c r="G6" s="157"/>
      <c r="H6" s="157"/>
      <c r="I6" s="157"/>
      <c r="J6" s="157"/>
      <c r="K6" s="11"/>
      <c r="L6" s="12"/>
      <c r="M6" s="12"/>
      <c r="N6" s="12"/>
      <c r="O6" s="12"/>
      <c r="P6" s="12"/>
      <c r="Q6" s="12"/>
      <c r="R6" s="12"/>
      <c r="S6" s="13"/>
      <c r="T6" s="14"/>
      <c r="U6" s="14"/>
      <c r="V6" s="14"/>
      <c r="W6" s="14"/>
    </row>
    <row r="7" spans="1:29" ht="9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14"/>
    </row>
    <row r="8" spans="1:29" s="8" customFormat="1" ht="16.5" customHeight="1" x14ac:dyDescent="0.25">
      <c r="A8" s="158" t="s">
        <v>2</v>
      </c>
      <c r="B8" s="159"/>
      <c r="C8" s="15">
        <f>+D51</f>
        <v>154000</v>
      </c>
      <c r="D8" s="16"/>
      <c r="E8" s="16"/>
      <c r="F8" s="16"/>
      <c r="G8" s="16"/>
      <c r="H8" s="16"/>
      <c r="I8" s="16"/>
      <c r="J8" s="16"/>
      <c r="K8" s="16"/>
      <c r="L8"/>
      <c r="M8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9" s="8" customFormat="1" ht="15.75" x14ac:dyDescent="0.25">
      <c r="A9" s="17" t="s">
        <v>3</v>
      </c>
      <c r="B9" s="18"/>
      <c r="C9" s="19">
        <f>+D62</f>
        <v>0</v>
      </c>
    </row>
    <row r="10" spans="1:29" s="8" customFormat="1" ht="15.75" x14ac:dyDescent="0.25">
      <c r="A10" s="17" t="s">
        <v>4</v>
      </c>
      <c r="B10" s="18"/>
      <c r="C10" s="19">
        <f>+D75</f>
        <v>268591</v>
      </c>
    </row>
    <row r="11" spans="1:29" s="8" customFormat="1" ht="15.75" x14ac:dyDescent="0.25">
      <c r="A11" s="17" t="s">
        <v>5</v>
      </c>
      <c r="B11" s="18"/>
      <c r="C11" s="19">
        <f>+D76</f>
        <v>422591</v>
      </c>
      <c r="H11"/>
    </row>
    <row r="12" spans="1:29" s="8" customFormat="1" ht="15.75" x14ac:dyDescent="0.25">
      <c r="A12" s="17" t="s">
        <v>6</v>
      </c>
      <c r="B12" s="18"/>
      <c r="C12" s="19">
        <f>+D88</f>
        <v>48158</v>
      </c>
      <c r="H12"/>
    </row>
    <row r="13" spans="1:29" s="8" customFormat="1" ht="15.75" x14ac:dyDescent="0.25">
      <c r="A13" s="17" t="s">
        <v>7</v>
      </c>
      <c r="B13" s="18"/>
      <c r="C13" s="19">
        <f>+D100</f>
        <v>57340</v>
      </c>
      <c r="H13"/>
    </row>
    <row r="14" spans="1:29" s="8" customFormat="1" ht="15.75" x14ac:dyDescent="0.25">
      <c r="A14" s="17" t="s">
        <v>8</v>
      </c>
      <c r="B14" s="18"/>
      <c r="C14" s="19">
        <f>+D110</f>
        <v>56378</v>
      </c>
      <c r="H14"/>
    </row>
    <row r="15" spans="1:29" s="8" customFormat="1" ht="15.75" x14ac:dyDescent="0.25">
      <c r="A15" s="17" t="s">
        <v>9</v>
      </c>
      <c r="B15" s="18"/>
      <c r="C15" s="19">
        <f>+D119</f>
        <v>31987</v>
      </c>
    </row>
    <row r="16" spans="1:29" s="8" customFormat="1" ht="15.75" x14ac:dyDescent="0.25">
      <c r="A16" s="17" t="s">
        <v>10</v>
      </c>
      <c r="B16" s="18"/>
      <c r="C16" s="19">
        <f>+D131</f>
        <v>21574</v>
      </c>
    </row>
    <row r="17" spans="1:27" s="8" customFormat="1" ht="15.75" x14ac:dyDescent="0.25">
      <c r="A17" s="17" t="s">
        <v>11</v>
      </c>
      <c r="B17" s="18"/>
      <c r="C17" s="19">
        <f>+D158</f>
        <v>212656</v>
      </c>
    </row>
    <row r="18" spans="1:27" s="8" customFormat="1" ht="15.75" x14ac:dyDescent="0.25">
      <c r="A18" s="20" t="s">
        <v>12</v>
      </c>
      <c r="B18" s="21"/>
      <c r="C18" s="22">
        <f>+D175</f>
        <v>1623395</v>
      </c>
    </row>
    <row r="19" spans="1:27" s="8" customFormat="1" ht="15.75" x14ac:dyDescent="0.25">
      <c r="A19" s="23"/>
      <c r="B19" s="23"/>
      <c r="C19" s="24"/>
    </row>
    <row r="20" spans="1:27" ht="15.75" x14ac:dyDescent="0.25">
      <c r="A20" s="23"/>
      <c r="B20" s="23"/>
      <c r="C20" s="23"/>
      <c r="D20" s="23"/>
      <c r="E20" s="23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7" ht="16.5" thickBot="1" x14ac:dyDescent="0.3">
      <c r="A21" s="26" t="s">
        <v>13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7"/>
      <c r="W21" s="27"/>
      <c r="X21" s="27"/>
    </row>
    <row r="22" spans="1:27" ht="38.25" x14ac:dyDescent="0.2">
      <c r="A22" s="160" t="s">
        <v>14</v>
      </c>
      <c r="B22" s="29" t="s">
        <v>15</v>
      </c>
      <c r="C22" s="29" t="s">
        <v>16</v>
      </c>
      <c r="D22" s="29" t="s">
        <v>16</v>
      </c>
      <c r="E22" s="29" t="s">
        <v>125</v>
      </c>
      <c r="F22" s="29" t="s">
        <v>125</v>
      </c>
      <c r="G22" s="29" t="s">
        <v>125</v>
      </c>
      <c r="H22" s="29"/>
      <c r="I22" s="29"/>
      <c r="J22" s="29"/>
      <c r="K22" s="29"/>
      <c r="L22" s="30"/>
      <c r="M22" s="30" t="s">
        <v>125</v>
      </c>
      <c r="N22" s="29" t="s">
        <v>133</v>
      </c>
      <c r="O22" s="30" t="s">
        <v>134</v>
      </c>
      <c r="P22" s="30" t="s">
        <v>136</v>
      </c>
      <c r="Q22" s="151" t="s">
        <v>136</v>
      </c>
      <c r="R22" s="29"/>
      <c r="S22" s="30" t="s">
        <v>142</v>
      </c>
      <c r="T22" s="29"/>
      <c r="U22" s="29"/>
      <c r="V22" s="30"/>
      <c r="W22" s="30"/>
      <c r="X22" s="29"/>
      <c r="Y22" s="29" t="s">
        <v>16</v>
      </c>
      <c r="Z22" s="31" t="s">
        <v>16</v>
      </c>
      <c r="AA22" s="32" t="s">
        <v>20</v>
      </c>
    </row>
    <row r="23" spans="1:27" x14ac:dyDescent="0.2">
      <c r="A23" s="161"/>
      <c r="B23" s="33" t="s">
        <v>21</v>
      </c>
      <c r="C23" s="33" t="s">
        <v>22</v>
      </c>
      <c r="D23" s="33" t="s">
        <v>22</v>
      </c>
      <c r="E23" s="33" t="s">
        <v>126</v>
      </c>
      <c r="F23" s="33" t="s">
        <v>17</v>
      </c>
      <c r="G23" s="33" t="s">
        <v>128</v>
      </c>
      <c r="H23" s="33"/>
      <c r="I23" s="33"/>
      <c r="J23" s="33"/>
      <c r="K23" s="33"/>
      <c r="L23" s="33"/>
      <c r="M23" s="33" t="s">
        <v>131</v>
      </c>
      <c r="N23" s="33"/>
      <c r="O23" s="33" t="s">
        <v>124</v>
      </c>
      <c r="P23" s="33" t="s">
        <v>137</v>
      </c>
      <c r="Q23" s="152" t="s">
        <v>124</v>
      </c>
      <c r="R23" s="33"/>
      <c r="S23" s="33"/>
      <c r="T23" s="33"/>
      <c r="U23" s="33"/>
      <c r="V23" s="33"/>
      <c r="W23" s="33"/>
      <c r="X23" s="33"/>
      <c r="Y23" s="33" t="s">
        <v>25</v>
      </c>
      <c r="Z23" s="34" t="s">
        <v>22</v>
      </c>
      <c r="AA23" s="35" t="s">
        <v>22</v>
      </c>
    </row>
    <row r="24" spans="1:27" ht="59.25" customHeight="1" x14ac:dyDescent="0.2">
      <c r="A24" s="161"/>
      <c r="B24" s="36" t="s">
        <v>26</v>
      </c>
      <c r="C24" s="36" t="s">
        <v>27</v>
      </c>
      <c r="D24" s="36" t="s">
        <v>28</v>
      </c>
      <c r="E24" s="36" t="s">
        <v>23</v>
      </c>
      <c r="F24" s="36" t="s">
        <v>127</v>
      </c>
      <c r="G24" s="36" t="s">
        <v>129</v>
      </c>
      <c r="H24" s="36"/>
      <c r="I24" s="36"/>
      <c r="J24" s="37"/>
      <c r="K24" s="37"/>
      <c r="L24" s="37"/>
      <c r="M24" s="37" t="s">
        <v>132</v>
      </c>
      <c r="N24" s="37"/>
      <c r="O24" s="38" t="s">
        <v>135</v>
      </c>
      <c r="P24" s="37"/>
      <c r="Q24" s="153" t="s">
        <v>135</v>
      </c>
      <c r="R24" s="36"/>
      <c r="S24" s="36"/>
      <c r="T24" s="36"/>
      <c r="U24" s="36"/>
      <c r="V24" s="37"/>
      <c r="W24" s="36"/>
      <c r="X24" s="36"/>
      <c r="Y24" s="36" t="s">
        <v>29</v>
      </c>
      <c r="Z24" s="39" t="s">
        <v>30</v>
      </c>
      <c r="AA24" s="40" t="s">
        <v>30</v>
      </c>
    </row>
    <row r="25" spans="1:27" x14ac:dyDescent="0.2">
      <c r="A25" s="41" t="s">
        <v>120</v>
      </c>
      <c r="B25" s="42">
        <v>2080</v>
      </c>
      <c r="C25" s="43">
        <v>45000</v>
      </c>
      <c r="D25" s="43">
        <v>46500</v>
      </c>
      <c r="E25" s="43">
        <v>2000</v>
      </c>
      <c r="F25" s="43">
        <v>2000</v>
      </c>
      <c r="G25" s="43">
        <v>2000</v>
      </c>
      <c r="H25" s="43"/>
      <c r="I25" s="43"/>
      <c r="J25" s="43"/>
      <c r="K25" s="43"/>
      <c r="L25" s="43"/>
      <c r="M25" s="43"/>
      <c r="N25" s="43">
        <v>25000</v>
      </c>
      <c r="O25" s="43">
        <v>2000</v>
      </c>
      <c r="P25" s="43">
        <v>2000</v>
      </c>
      <c r="Q25" s="43">
        <v>5500</v>
      </c>
      <c r="R25" s="43"/>
      <c r="S25" s="43"/>
      <c r="T25" s="43"/>
      <c r="U25" s="43"/>
      <c r="V25" s="43"/>
      <c r="W25" s="43"/>
      <c r="X25" s="43"/>
      <c r="Y25" s="44">
        <f t="shared" ref="Y25:Y50" si="0">SUM(E25:X25)</f>
        <v>40500</v>
      </c>
      <c r="Z25" s="45">
        <f>SUM(D25-C25)</f>
        <v>1500</v>
      </c>
      <c r="AA25" s="46">
        <f>Z25/C25</f>
        <v>3.3333333333333333E-2</v>
      </c>
    </row>
    <row r="26" spans="1:27" x14ac:dyDescent="0.2">
      <c r="A26" s="41" t="s">
        <v>121</v>
      </c>
      <c r="B26" s="42">
        <v>2080</v>
      </c>
      <c r="C26" s="43">
        <v>37000</v>
      </c>
      <c r="D26" s="43">
        <v>37500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4">
        <f t="shared" si="0"/>
        <v>0</v>
      </c>
      <c r="Z26" s="45">
        <f t="shared" ref="Z26:Z50" si="1">SUM(D26-C26)</f>
        <v>500</v>
      </c>
      <c r="AA26" s="46">
        <f t="shared" ref="AA26:AA50" si="2">Z26/C26</f>
        <v>1.3513513513513514E-2</v>
      </c>
    </row>
    <row r="27" spans="1:27" x14ac:dyDescent="0.2">
      <c r="A27" s="41" t="s">
        <v>122</v>
      </c>
      <c r="B27" s="42">
        <v>2080</v>
      </c>
      <c r="C27" s="43">
        <v>35000</v>
      </c>
      <c r="D27" s="43">
        <v>35500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4">
        <f t="shared" si="0"/>
        <v>0</v>
      </c>
      <c r="Z27" s="45">
        <f t="shared" si="1"/>
        <v>500</v>
      </c>
      <c r="AA27" s="46">
        <f t="shared" si="2"/>
        <v>1.4285714285714285E-2</v>
      </c>
    </row>
    <row r="28" spans="1:27" x14ac:dyDescent="0.2">
      <c r="A28" s="41" t="s">
        <v>123</v>
      </c>
      <c r="B28" s="42">
        <v>2080</v>
      </c>
      <c r="C28" s="43">
        <v>34000</v>
      </c>
      <c r="D28" s="43">
        <v>34500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4">
        <f t="shared" ref="Y28:Y33" si="3">SUM(E28:X28)</f>
        <v>0</v>
      </c>
      <c r="Z28" s="45">
        <f t="shared" si="1"/>
        <v>500</v>
      </c>
      <c r="AA28" s="46">
        <f t="shared" si="2"/>
        <v>1.4705882352941176E-2</v>
      </c>
    </row>
    <row r="29" spans="1:27" x14ac:dyDescent="0.2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4">
        <f t="shared" si="3"/>
        <v>0</v>
      </c>
      <c r="Z29" s="45">
        <f t="shared" si="1"/>
        <v>0</v>
      </c>
      <c r="AA29" s="46" t="e">
        <f t="shared" si="2"/>
        <v>#DIV/0!</v>
      </c>
    </row>
    <row r="30" spans="1:27" x14ac:dyDescent="0.2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4">
        <f t="shared" si="3"/>
        <v>0</v>
      </c>
      <c r="Z30" s="45">
        <f t="shared" si="1"/>
        <v>0</v>
      </c>
      <c r="AA30" s="46" t="e">
        <f t="shared" si="2"/>
        <v>#DIV/0!</v>
      </c>
    </row>
    <row r="31" spans="1:27" x14ac:dyDescent="0.2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4">
        <f t="shared" si="3"/>
        <v>0</v>
      </c>
      <c r="Z31" s="45">
        <f t="shared" si="1"/>
        <v>0</v>
      </c>
      <c r="AA31" s="46" t="e">
        <f t="shared" si="2"/>
        <v>#DIV/0!</v>
      </c>
    </row>
    <row r="32" spans="1:27" x14ac:dyDescent="0.2">
      <c r="A32" s="41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4">
        <f t="shared" si="3"/>
        <v>0</v>
      </c>
      <c r="Z32" s="45">
        <f t="shared" si="1"/>
        <v>0</v>
      </c>
      <c r="AA32" s="46" t="e">
        <f t="shared" si="2"/>
        <v>#DIV/0!</v>
      </c>
    </row>
    <row r="33" spans="1:27" x14ac:dyDescent="0.2">
      <c r="A33" s="41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4">
        <f t="shared" si="3"/>
        <v>0</v>
      </c>
      <c r="Z33" s="45">
        <f t="shared" si="1"/>
        <v>0</v>
      </c>
      <c r="AA33" s="46" t="e">
        <f t="shared" si="2"/>
        <v>#DIV/0!</v>
      </c>
    </row>
    <row r="34" spans="1:27" x14ac:dyDescent="0.2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4">
        <f t="shared" si="0"/>
        <v>0</v>
      </c>
      <c r="Z34" s="45">
        <f t="shared" si="1"/>
        <v>0</v>
      </c>
      <c r="AA34" s="46" t="e">
        <f t="shared" si="2"/>
        <v>#DIV/0!</v>
      </c>
    </row>
    <row r="35" spans="1:27" x14ac:dyDescent="0.2">
      <c r="A35" s="41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4">
        <f t="shared" si="0"/>
        <v>0</v>
      </c>
      <c r="Z35" s="45">
        <f t="shared" si="1"/>
        <v>0</v>
      </c>
      <c r="AA35" s="46" t="e">
        <f t="shared" si="2"/>
        <v>#DIV/0!</v>
      </c>
    </row>
    <row r="36" spans="1:27" x14ac:dyDescent="0.2">
      <c r="A36" s="154" t="s">
        <v>138</v>
      </c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4">
        <f t="shared" si="0"/>
        <v>0</v>
      </c>
      <c r="Z36" s="45">
        <f t="shared" si="1"/>
        <v>0</v>
      </c>
      <c r="AA36" s="46" t="e">
        <f t="shared" si="2"/>
        <v>#DIV/0!</v>
      </c>
    </row>
    <row r="37" spans="1:27" x14ac:dyDescent="0.2">
      <c r="A37" s="154" t="s">
        <v>139</v>
      </c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4">
        <f t="shared" si="0"/>
        <v>0</v>
      </c>
      <c r="Z37" s="45">
        <f t="shared" si="1"/>
        <v>0</v>
      </c>
      <c r="AA37" s="46" t="e">
        <f t="shared" si="2"/>
        <v>#DIV/0!</v>
      </c>
    </row>
    <row r="38" spans="1:27" x14ac:dyDescent="0.2">
      <c r="A38" s="41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4">
        <f t="shared" si="0"/>
        <v>0</v>
      </c>
      <c r="Z38" s="45">
        <f t="shared" si="1"/>
        <v>0</v>
      </c>
      <c r="AA38" s="46" t="e">
        <f t="shared" si="2"/>
        <v>#DIV/0!</v>
      </c>
    </row>
    <row r="39" spans="1:27" x14ac:dyDescent="0.2">
      <c r="A39" s="41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4">
        <f t="shared" si="0"/>
        <v>0</v>
      </c>
      <c r="Z39" s="45">
        <f t="shared" si="1"/>
        <v>0</v>
      </c>
      <c r="AA39" s="46" t="e">
        <f t="shared" si="2"/>
        <v>#DIV/0!</v>
      </c>
    </row>
    <row r="40" spans="1:27" x14ac:dyDescent="0.2">
      <c r="A40" s="41"/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4">
        <f t="shared" si="0"/>
        <v>0</v>
      </c>
      <c r="Z40" s="45">
        <f t="shared" si="1"/>
        <v>0</v>
      </c>
      <c r="AA40" s="46" t="e">
        <f t="shared" si="2"/>
        <v>#DIV/0!</v>
      </c>
    </row>
    <row r="41" spans="1:27" x14ac:dyDescent="0.2">
      <c r="A41" s="41"/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4">
        <f t="shared" si="0"/>
        <v>0</v>
      </c>
      <c r="Z41" s="45">
        <f t="shared" si="1"/>
        <v>0</v>
      </c>
      <c r="AA41" s="46" t="e">
        <f t="shared" si="2"/>
        <v>#DIV/0!</v>
      </c>
    </row>
    <row r="42" spans="1:27" x14ac:dyDescent="0.2">
      <c r="A42" s="4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4">
        <f t="shared" si="0"/>
        <v>0</v>
      </c>
      <c r="Z42" s="45">
        <f t="shared" si="1"/>
        <v>0</v>
      </c>
      <c r="AA42" s="46" t="e">
        <f t="shared" si="2"/>
        <v>#DIV/0!</v>
      </c>
    </row>
    <row r="43" spans="1:27" x14ac:dyDescent="0.2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4">
        <f t="shared" si="0"/>
        <v>0</v>
      </c>
      <c r="Z43" s="45">
        <f t="shared" si="1"/>
        <v>0</v>
      </c>
      <c r="AA43" s="46" t="e">
        <f t="shared" si="2"/>
        <v>#DIV/0!</v>
      </c>
    </row>
    <row r="44" spans="1:27" x14ac:dyDescent="0.2">
      <c r="A44" s="41"/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4">
        <f t="shared" si="0"/>
        <v>0</v>
      </c>
      <c r="Z44" s="45">
        <f t="shared" si="1"/>
        <v>0</v>
      </c>
      <c r="AA44" s="46" t="e">
        <f t="shared" si="2"/>
        <v>#DIV/0!</v>
      </c>
    </row>
    <row r="45" spans="1:27" x14ac:dyDescent="0.2">
      <c r="A45" s="41"/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4">
        <f t="shared" si="0"/>
        <v>0</v>
      </c>
      <c r="Z45" s="45">
        <f t="shared" si="1"/>
        <v>0</v>
      </c>
      <c r="AA45" s="46" t="e">
        <f t="shared" si="2"/>
        <v>#DIV/0!</v>
      </c>
    </row>
    <row r="46" spans="1:27" x14ac:dyDescent="0.2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4">
        <f t="shared" si="0"/>
        <v>0</v>
      </c>
      <c r="Z46" s="45">
        <f t="shared" si="1"/>
        <v>0</v>
      </c>
      <c r="AA46" s="46" t="e">
        <f t="shared" si="2"/>
        <v>#DIV/0!</v>
      </c>
    </row>
    <row r="47" spans="1:27" x14ac:dyDescent="0.2">
      <c r="A47" s="47" t="s">
        <v>31</v>
      </c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4">
        <f t="shared" si="0"/>
        <v>0</v>
      </c>
      <c r="Z47" s="45">
        <f t="shared" si="1"/>
        <v>0</v>
      </c>
      <c r="AA47" s="46" t="e">
        <f t="shared" si="2"/>
        <v>#DIV/0!</v>
      </c>
    </row>
    <row r="48" spans="1:27" x14ac:dyDescent="0.2">
      <c r="A48" s="47" t="s">
        <v>32</v>
      </c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4">
        <f t="shared" si="0"/>
        <v>0</v>
      </c>
      <c r="Z48" s="45">
        <f t="shared" si="1"/>
        <v>0</v>
      </c>
      <c r="AA48" s="46" t="e">
        <f t="shared" si="2"/>
        <v>#DIV/0!</v>
      </c>
    </row>
    <row r="49" spans="1:27" x14ac:dyDescent="0.2">
      <c r="A49" s="47" t="s">
        <v>33</v>
      </c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4">
        <f t="shared" si="0"/>
        <v>0</v>
      </c>
      <c r="Z49" s="45">
        <f t="shared" si="1"/>
        <v>0</v>
      </c>
      <c r="AA49" s="46" t="e">
        <f t="shared" si="2"/>
        <v>#DIV/0!</v>
      </c>
    </row>
    <row r="50" spans="1:27" x14ac:dyDescent="0.2">
      <c r="A50" s="47" t="s">
        <v>34</v>
      </c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4">
        <f t="shared" si="0"/>
        <v>0</v>
      </c>
      <c r="Z50" s="45">
        <f t="shared" si="1"/>
        <v>0</v>
      </c>
      <c r="AA50" s="46" t="e">
        <f t="shared" si="2"/>
        <v>#DIV/0!</v>
      </c>
    </row>
    <row r="51" spans="1:27" ht="15.75" x14ac:dyDescent="0.25">
      <c r="A51" s="48" t="s">
        <v>35</v>
      </c>
      <c r="B51" s="49"/>
      <c r="C51" s="44">
        <f>SUM(C25:C50)</f>
        <v>151000</v>
      </c>
      <c r="D51" s="44">
        <f>SUM(D25:D50)</f>
        <v>154000</v>
      </c>
      <c r="E51" s="44">
        <f t="shared" ref="E51:X51" si="4">SUM(E25:E50)</f>
        <v>2000</v>
      </c>
      <c r="F51" s="44">
        <f t="shared" si="4"/>
        <v>2000</v>
      </c>
      <c r="G51" s="44">
        <f>SUM(G25:G50)</f>
        <v>2000</v>
      </c>
      <c r="H51" s="44">
        <f t="shared" si="4"/>
        <v>0</v>
      </c>
      <c r="I51" s="44">
        <f t="shared" si="4"/>
        <v>0</v>
      </c>
      <c r="J51" s="44">
        <f>SUM(J25:J50)</f>
        <v>0</v>
      </c>
      <c r="K51" s="44">
        <f>SUM(K25:K50)</f>
        <v>0</v>
      </c>
      <c r="L51" s="44">
        <f t="shared" si="4"/>
        <v>0</v>
      </c>
      <c r="M51" s="44">
        <f t="shared" si="4"/>
        <v>0</v>
      </c>
      <c r="N51" s="44">
        <f>SUM(N25:N50)</f>
        <v>25000</v>
      </c>
      <c r="O51" s="44">
        <f>SUM(O25:O50)</f>
        <v>2000</v>
      </c>
      <c r="P51" s="44">
        <f t="shared" si="4"/>
        <v>2000</v>
      </c>
      <c r="Q51" s="44">
        <f t="shared" si="4"/>
        <v>5500</v>
      </c>
      <c r="R51" s="44">
        <f t="shared" si="4"/>
        <v>0</v>
      </c>
      <c r="S51" s="44">
        <f>SUM(S25:S50)</f>
        <v>0</v>
      </c>
      <c r="T51" s="44">
        <f>SUM(T25:T50)</f>
        <v>0</v>
      </c>
      <c r="U51" s="44">
        <f>SUM(U25:U50)</f>
        <v>0</v>
      </c>
      <c r="V51" s="44">
        <f>SUM(V25:V50)</f>
        <v>0</v>
      </c>
      <c r="W51" s="44">
        <f t="shared" si="4"/>
        <v>0</v>
      </c>
      <c r="X51" s="44">
        <f t="shared" si="4"/>
        <v>0</v>
      </c>
      <c r="Y51" s="44">
        <f>SUM(Y25:Y50)</f>
        <v>40500</v>
      </c>
      <c r="Z51" s="45">
        <f>SUM(Z25:Z50)</f>
        <v>3000</v>
      </c>
      <c r="AA51" s="46">
        <f>Z51/C51</f>
        <v>1.9867549668874173E-2</v>
      </c>
    </row>
    <row r="52" spans="1:27" ht="16.5" thickBot="1" x14ac:dyDescent="0.3">
      <c r="A52" s="50" t="s">
        <v>36</v>
      </c>
      <c r="B52" s="51">
        <f>SUM(B25:B50)</f>
        <v>8320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3"/>
      <c r="AA52" s="54"/>
    </row>
    <row r="53" spans="1:27" s="8" customFormat="1" ht="39.75" customHeight="1" x14ac:dyDescent="0.25">
      <c r="A53" s="162" t="s">
        <v>37</v>
      </c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55"/>
    </row>
    <row r="54" spans="1:27" s="8" customFormat="1" ht="15.75" x14ac:dyDescent="0.25">
      <c r="A54" s="8" t="s">
        <v>38</v>
      </c>
    </row>
    <row r="56" spans="1:27" ht="15.75" x14ac:dyDescent="0.25">
      <c r="A56" s="23"/>
      <c r="B56" s="23"/>
      <c r="C56" s="23"/>
      <c r="D56" s="23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7" ht="16.5" thickBot="1" x14ac:dyDescent="0.3">
      <c r="A57" s="23" t="s">
        <v>39</v>
      </c>
      <c r="T57" s="28"/>
      <c r="U57" s="28"/>
    </row>
    <row r="58" spans="1:27" ht="27" customHeight="1" x14ac:dyDescent="0.2">
      <c r="A58" s="56"/>
      <c r="B58" s="57"/>
      <c r="C58" s="58" t="s">
        <v>16</v>
      </c>
      <c r="D58" s="58" t="s">
        <v>16</v>
      </c>
      <c r="E58" s="29" t="s">
        <v>125</v>
      </c>
      <c r="F58" s="29" t="s">
        <v>125</v>
      </c>
      <c r="G58" s="29" t="s">
        <v>125</v>
      </c>
      <c r="H58" s="29"/>
      <c r="I58" s="29"/>
      <c r="J58" s="29"/>
      <c r="K58" s="29"/>
      <c r="L58" s="30"/>
      <c r="M58" s="30" t="s">
        <v>125</v>
      </c>
      <c r="N58" s="29" t="s">
        <v>133</v>
      </c>
      <c r="O58" s="30" t="s">
        <v>134</v>
      </c>
      <c r="P58" s="30" t="s">
        <v>136</v>
      </c>
      <c r="Q58" s="151" t="s">
        <v>136</v>
      </c>
      <c r="R58" s="29"/>
      <c r="S58" s="29"/>
      <c r="T58" s="29"/>
      <c r="U58" s="29" t="s">
        <v>130</v>
      </c>
      <c r="V58" s="30" t="s">
        <v>19</v>
      </c>
      <c r="W58" s="30" t="s">
        <v>19</v>
      </c>
      <c r="X58" s="29" t="s">
        <v>11</v>
      </c>
      <c r="Y58" s="58" t="s">
        <v>16</v>
      </c>
      <c r="Z58" s="59" t="s">
        <v>16</v>
      </c>
      <c r="AA58" s="60" t="s">
        <v>20</v>
      </c>
    </row>
    <row r="59" spans="1:27" x14ac:dyDescent="0.2">
      <c r="A59" s="61"/>
      <c r="B59" s="62"/>
      <c r="C59" s="63" t="s">
        <v>22</v>
      </c>
      <c r="D59" s="63" t="s">
        <v>22</v>
      </c>
      <c r="E59" s="33" t="s">
        <v>126</v>
      </c>
      <c r="F59" s="33" t="s">
        <v>17</v>
      </c>
      <c r="G59" s="33" t="s">
        <v>128</v>
      </c>
      <c r="H59" s="33"/>
      <c r="I59" s="33"/>
      <c r="J59" s="33"/>
      <c r="K59" s="33"/>
      <c r="L59" s="33"/>
      <c r="M59" s="33" t="s">
        <v>131</v>
      </c>
      <c r="N59" s="33"/>
      <c r="O59" s="33" t="s">
        <v>124</v>
      </c>
      <c r="P59" s="33" t="s">
        <v>137</v>
      </c>
      <c r="Q59" s="152" t="s">
        <v>124</v>
      </c>
      <c r="R59" s="33"/>
      <c r="S59" s="33"/>
      <c r="T59" s="33"/>
      <c r="U59" s="33"/>
      <c r="V59" s="33"/>
      <c r="W59" s="33"/>
      <c r="X59" s="33" t="s">
        <v>24</v>
      </c>
      <c r="Y59" s="63" t="s">
        <v>25</v>
      </c>
      <c r="Z59" s="64" t="s">
        <v>22</v>
      </c>
      <c r="AA59" s="65" t="s">
        <v>22</v>
      </c>
    </row>
    <row r="60" spans="1:27" x14ac:dyDescent="0.2">
      <c r="A60" s="66"/>
      <c r="B60" s="67"/>
      <c r="C60" s="68" t="s">
        <v>27</v>
      </c>
      <c r="D60" s="68" t="s">
        <v>28</v>
      </c>
      <c r="E60" s="36" t="s">
        <v>23</v>
      </c>
      <c r="F60" s="36" t="s">
        <v>127</v>
      </c>
      <c r="G60" s="36" t="s">
        <v>129</v>
      </c>
      <c r="H60" s="36"/>
      <c r="I60" s="36"/>
      <c r="J60" s="37"/>
      <c r="K60" s="37"/>
      <c r="L60" s="37"/>
      <c r="M60" s="37" t="s">
        <v>132</v>
      </c>
      <c r="N60" s="37"/>
      <c r="O60" s="38" t="s">
        <v>135</v>
      </c>
      <c r="P60" s="37"/>
      <c r="Q60" s="153" t="s">
        <v>135</v>
      </c>
      <c r="R60" s="36"/>
      <c r="S60" s="36"/>
      <c r="T60" s="36"/>
      <c r="U60" s="36"/>
      <c r="V60" s="37"/>
      <c r="W60" s="36"/>
      <c r="X60" s="36"/>
      <c r="Y60" s="68" t="s">
        <v>29</v>
      </c>
      <c r="Z60" s="69" t="s">
        <v>30</v>
      </c>
      <c r="AA60" s="70" t="s">
        <v>30</v>
      </c>
    </row>
    <row r="61" spans="1:27" ht="24" customHeight="1" x14ac:dyDescent="0.2">
      <c r="A61" s="66" t="s">
        <v>40</v>
      </c>
      <c r="B61" s="71"/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72"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3">
        <f>SUM(E61:X61)</f>
        <v>0</v>
      </c>
      <c r="Z61" s="74">
        <f>SUM(D61-C61)</f>
        <v>0</v>
      </c>
      <c r="AA61" s="75" t="e">
        <f>Z61/C61</f>
        <v>#DIV/0!</v>
      </c>
    </row>
    <row r="62" spans="1:27" ht="24" customHeight="1" x14ac:dyDescent="0.2">
      <c r="A62" s="76" t="s">
        <v>41</v>
      </c>
      <c r="B62" s="77"/>
      <c r="C62" s="44">
        <f>SUM(C61:C61)</f>
        <v>0</v>
      </c>
      <c r="D62" s="44">
        <f t="shared" ref="D62:X62" si="5">SUM(D61:D61)</f>
        <v>0</v>
      </c>
      <c r="E62" s="44">
        <f>SUM(E61:E61)</f>
        <v>0</v>
      </c>
      <c r="F62" s="44">
        <f t="shared" si="5"/>
        <v>0</v>
      </c>
      <c r="G62" s="44">
        <f t="shared" si="5"/>
        <v>0</v>
      </c>
      <c r="H62" s="44">
        <f t="shared" si="5"/>
        <v>0</v>
      </c>
      <c r="I62" s="44">
        <f t="shared" si="5"/>
        <v>0</v>
      </c>
      <c r="J62" s="44">
        <f t="shared" si="5"/>
        <v>0</v>
      </c>
      <c r="K62" s="44">
        <v>0</v>
      </c>
      <c r="L62" s="44">
        <f>SUM(L61:L61)</f>
        <v>0</v>
      </c>
      <c r="M62" s="44">
        <f>SUM(M61:M61)</f>
        <v>0</v>
      </c>
      <c r="N62" s="44">
        <f t="shared" si="5"/>
        <v>0</v>
      </c>
      <c r="O62" s="44">
        <f t="shared" si="5"/>
        <v>0</v>
      </c>
      <c r="P62" s="44">
        <f t="shared" si="5"/>
        <v>0</v>
      </c>
      <c r="Q62" s="44">
        <f t="shared" si="5"/>
        <v>0</v>
      </c>
      <c r="R62" s="44">
        <f t="shared" si="5"/>
        <v>0</v>
      </c>
      <c r="S62" s="44">
        <f t="shared" si="5"/>
        <v>0</v>
      </c>
      <c r="T62" s="44">
        <f t="shared" si="5"/>
        <v>0</v>
      </c>
      <c r="U62" s="44">
        <f t="shared" si="5"/>
        <v>0</v>
      </c>
      <c r="V62" s="44">
        <f t="shared" si="5"/>
        <v>0</v>
      </c>
      <c r="W62" s="44">
        <f t="shared" si="5"/>
        <v>0</v>
      </c>
      <c r="X62" s="44">
        <f t="shared" si="5"/>
        <v>0</v>
      </c>
      <c r="Y62" s="44">
        <f>SUM(E62:X62)</f>
        <v>0</v>
      </c>
      <c r="Z62" s="78">
        <f>SUM(Z61:Z61)</f>
        <v>0</v>
      </c>
      <c r="AA62" s="75" t="e">
        <f>Z62/C62</f>
        <v>#DIV/0!</v>
      </c>
    </row>
    <row r="63" spans="1:27" ht="24" customHeight="1" thickBot="1" x14ac:dyDescent="0.25">
      <c r="A63" s="79" t="s">
        <v>42</v>
      </c>
      <c r="B63" s="80"/>
      <c r="C63" s="81">
        <f t="shared" ref="C63:Z63" si="6">SUM(C51,C62)</f>
        <v>151000</v>
      </c>
      <c r="D63" s="81">
        <f t="shared" si="6"/>
        <v>154000</v>
      </c>
      <c r="E63" s="81">
        <f t="shared" si="6"/>
        <v>2000</v>
      </c>
      <c r="F63" s="81">
        <f t="shared" si="6"/>
        <v>2000</v>
      </c>
      <c r="G63" s="81">
        <f t="shared" si="6"/>
        <v>2000</v>
      </c>
      <c r="H63" s="81">
        <f t="shared" si="6"/>
        <v>0</v>
      </c>
      <c r="I63" s="81">
        <f t="shared" si="6"/>
        <v>0</v>
      </c>
      <c r="J63" s="81">
        <f t="shared" si="6"/>
        <v>0</v>
      </c>
      <c r="K63" s="81">
        <f>SUM(K61:K62)</f>
        <v>0</v>
      </c>
      <c r="L63" s="81">
        <f>SUM(L51,L62)</f>
        <v>0</v>
      </c>
      <c r="M63" s="81">
        <f>SUM(M51,M62)</f>
        <v>0</v>
      </c>
      <c r="N63" s="81">
        <f t="shared" si="6"/>
        <v>25000</v>
      </c>
      <c r="O63" s="81">
        <f t="shared" si="6"/>
        <v>2000</v>
      </c>
      <c r="P63" s="81">
        <f t="shared" si="6"/>
        <v>2000</v>
      </c>
      <c r="Q63" s="81">
        <f t="shared" si="6"/>
        <v>5500</v>
      </c>
      <c r="R63" s="81">
        <f t="shared" si="6"/>
        <v>0</v>
      </c>
      <c r="S63" s="81">
        <f t="shared" si="6"/>
        <v>0</v>
      </c>
      <c r="T63" s="81">
        <f t="shared" si="6"/>
        <v>0</v>
      </c>
      <c r="U63" s="81">
        <f t="shared" si="6"/>
        <v>0</v>
      </c>
      <c r="V63" s="81">
        <f t="shared" si="6"/>
        <v>0</v>
      </c>
      <c r="W63" s="81">
        <f t="shared" si="6"/>
        <v>0</v>
      </c>
      <c r="X63" s="81">
        <f t="shared" si="6"/>
        <v>0</v>
      </c>
      <c r="Y63" s="81">
        <f>SUM(Y51,Y62)</f>
        <v>40500</v>
      </c>
      <c r="Z63" s="82">
        <f t="shared" si="6"/>
        <v>3000</v>
      </c>
      <c r="AA63" s="83">
        <f>Z63/C63</f>
        <v>1.9867549668874173E-2</v>
      </c>
    </row>
    <row r="64" spans="1:27" x14ac:dyDescent="0.2">
      <c r="A64" s="62"/>
      <c r="B64" s="62"/>
    </row>
    <row r="65" spans="1:27" x14ac:dyDescent="0.2">
      <c r="A65" s="62"/>
      <c r="B65" s="62"/>
    </row>
    <row r="66" spans="1:27" ht="16.5" thickBot="1" x14ac:dyDescent="0.3">
      <c r="A66" s="23" t="s">
        <v>43</v>
      </c>
      <c r="B66" s="23"/>
    </row>
    <row r="67" spans="1:27" ht="27" customHeight="1" x14ac:dyDescent="0.2">
      <c r="A67" s="56"/>
      <c r="B67" s="57"/>
      <c r="C67" s="84" t="s">
        <v>16</v>
      </c>
      <c r="D67" s="84" t="s">
        <v>16</v>
      </c>
      <c r="E67" s="29" t="s">
        <v>125</v>
      </c>
      <c r="F67" s="29" t="s">
        <v>125</v>
      </c>
      <c r="G67" s="29" t="s">
        <v>125</v>
      </c>
      <c r="H67" s="29"/>
      <c r="I67" s="29"/>
      <c r="J67" s="29"/>
      <c r="K67" s="29"/>
      <c r="L67" s="30"/>
      <c r="M67" s="30" t="s">
        <v>125</v>
      </c>
      <c r="N67" s="29" t="s">
        <v>133</v>
      </c>
      <c r="O67" s="30" t="s">
        <v>134</v>
      </c>
      <c r="P67" s="30" t="s">
        <v>136</v>
      </c>
      <c r="Q67" s="151" t="s">
        <v>136</v>
      </c>
      <c r="R67" s="29"/>
      <c r="S67" s="29"/>
      <c r="T67" s="29"/>
      <c r="U67" s="29" t="s">
        <v>130</v>
      </c>
      <c r="V67" s="30" t="s">
        <v>19</v>
      </c>
      <c r="W67" s="30" t="s">
        <v>19</v>
      </c>
      <c r="X67" s="29" t="s">
        <v>11</v>
      </c>
      <c r="Y67" s="84" t="s">
        <v>16</v>
      </c>
      <c r="Z67" s="85" t="s">
        <v>16</v>
      </c>
      <c r="AA67" s="86" t="s">
        <v>20</v>
      </c>
    </row>
    <row r="68" spans="1:27" x14ac:dyDescent="0.2">
      <c r="A68" s="61"/>
      <c r="B68" s="62"/>
      <c r="C68" s="87" t="s">
        <v>22</v>
      </c>
      <c r="D68" s="87" t="s">
        <v>22</v>
      </c>
      <c r="E68" s="33" t="s">
        <v>126</v>
      </c>
      <c r="F68" s="33" t="s">
        <v>17</v>
      </c>
      <c r="G68" s="33" t="s">
        <v>128</v>
      </c>
      <c r="H68" s="33"/>
      <c r="I68" s="33"/>
      <c r="J68" s="33"/>
      <c r="K68" s="33"/>
      <c r="L68" s="33"/>
      <c r="M68" s="33" t="s">
        <v>131</v>
      </c>
      <c r="N68" s="33"/>
      <c r="O68" s="33" t="s">
        <v>124</v>
      </c>
      <c r="P68" s="33" t="s">
        <v>137</v>
      </c>
      <c r="Q68" s="152" t="s">
        <v>124</v>
      </c>
      <c r="R68" s="33"/>
      <c r="S68" s="33"/>
      <c r="T68" s="33"/>
      <c r="U68" s="33"/>
      <c r="V68" s="33"/>
      <c r="W68" s="33"/>
      <c r="X68" s="33" t="s">
        <v>24</v>
      </c>
      <c r="Y68" s="87" t="s">
        <v>25</v>
      </c>
      <c r="Z68" s="88" t="s">
        <v>22</v>
      </c>
      <c r="AA68" s="89" t="s">
        <v>22</v>
      </c>
    </row>
    <row r="69" spans="1:27" x14ac:dyDescent="0.2">
      <c r="A69" s="66"/>
      <c r="B69" s="67"/>
      <c r="C69" s="90" t="s">
        <v>27</v>
      </c>
      <c r="D69" s="90" t="s">
        <v>28</v>
      </c>
      <c r="E69" s="36" t="s">
        <v>23</v>
      </c>
      <c r="F69" s="36" t="s">
        <v>127</v>
      </c>
      <c r="G69" s="36" t="s">
        <v>129</v>
      </c>
      <c r="H69" s="36"/>
      <c r="I69" s="36"/>
      <c r="J69" s="37"/>
      <c r="K69" s="37"/>
      <c r="L69" s="37"/>
      <c r="M69" s="37" t="s">
        <v>132</v>
      </c>
      <c r="N69" s="37"/>
      <c r="O69" s="38" t="s">
        <v>135</v>
      </c>
      <c r="P69" s="37"/>
      <c r="Q69" s="153" t="s">
        <v>135</v>
      </c>
      <c r="R69" s="36"/>
      <c r="S69" s="36"/>
      <c r="T69" s="36"/>
      <c r="U69" s="36"/>
      <c r="V69" s="37"/>
      <c r="W69" s="36"/>
      <c r="X69" s="36"/>
      <c r="Y69" s="90" t="s">
        <v>29</v>
      </c>
      <c r="Z69" s="91" t="s">
        <v>30</v>
      </c>
      <c r="AA69" s="92" t="s">
        <v>30</v>
      </c>
    </row>
    <row r="70" spans="1:27" ht="24" customHeight="1" x14ac:dyDescent="0.2">
      <c r="A70" s="76" t="s">
        <v>44</v>
      </c>
      <c r="B70" s="77"/>
      <c r="C70" s="43">
        <v>66407</v>
      </c>
      <c r="D70" s="43">
        <v>67515</v>
      </c>
      <c r="E70" s="43">
        <v>1818</v>
      </c>
      <c r="F70" s="43">
        <v>3971</v>
      </c>
      <c r="G70" s="43">
        <v>1545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115</v>
      </c>
      <c r="N70" s="43">
        <v>1014</v>
      </c>
      <c r="O70" s="43">
        <v>880</v>
      </c>
      <c r="P70" s="43">
        <v>3525</v>
      </c>
      <c r="Q70" s="43">
        <v>5690</v>
      </c>
      <c r="R70" s="43">
        <v>3090</v>
      </c>
      <c r="S70" s="43">
        <v>15447</v>
      </c>
      <c r="T70" s="43"/>
      <c r="U70" s="43"/>
      <c r="V70" s="43">
        <f>1235+666</f>
        <v>1901</v>
      </c>
      <c r="W70" s="43">
        <v>0</v>
      </c>
      <c r="X70" s="43"/>
      <c r="Y70" s="44">
        <f>SUM(E70:X70)</f>
        <v>38996</v>
      </c>
      <c r="Z70" s="78">
        <f>SUM(D70-C70)</f>
        <v>1108</v>
      </c>
      <c r="AA70" s="46">
        <f>Z70/C70</f>
        <v>1.6684988028370502E-2</v>
      </c>
    </row>
    <row r="71" spans="1:27" ht="24" customHeight="1" x14ac:dyDescent="0.2">
      <c r="A71" s="76" t="s">
        <v>45</v>
      </c>
      <c r="B71" s="77"/>
      <c r="C71" s="43">
        <v>69577</v>
      </c>
      <c r="D71" s="43">
        <v>70393</v>
      </c>
      <c r="E71" s="43">
        <v>1740</v>
      </c>
      <c r="F71" s="43">
        <v>4182</v>
      </c>
      <c r="G71" s="43">
        <v>1587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264</v>
      </c>
      <c r="N71" s="43">
        <v>1156</v>
      </c>
      <c r="O71" s="43">
        <v>842</v>
      </c>
      <c r="P71" s="43">
        <v>3650</v>
      </c>
      <c r="Q71" s="43">
        <v>5440</v>
      </c>
      <c r="R71" s="43">
        <v>2955</v>
      </c>
      <c r="S71" s="43">
        <v>15735</v>
      </c>
      <c r="T71" s="43"/>
      <c r="U71" s="43"/>
      <c r="V71" s="43">
        <f>1290+636</f>
        <v>1926</v>
      </c>
      <c r="W71" s="43">
        <v>0</v>
      </c>
      <c r="X71" s="43"/>
      <c r="Y71" s="44">
        <f>SUM(E71:X71)</f>
        <v>39477</v>
      </c>
      <c r="Z71" s="78">
        <f>SUM(D71-C71)</f>
        <v>816</v>
      </c>
      <c r="AA71" s="46">
        <f t="shared" ref="AA71:AA76" si="7">Z71/C71</f>
        <v>1.1728013567701971E-2</v>
      </c>
    </row>
    <row r="72" spans="1:27" ht="24" customHeight="1" x14ac:dyDescent="0.2">
      <c r="A72" s="76" t="s">
        <v>46</v>
      </c>
      <c r="B72" s="77"/>
      <c r="C72" s="43">
        <v>154</v>
      </c>
      <c r="D72" s="43">
        <v>154</v>
      </c>
      <c r="E72" s="43">
        <v>2</v>
      </c>
      <c r="F72" s="43">
        <v>9</v>
      </c>
      <c r="G72" s="43">
        <v>2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1</v>
      </c>
      <c r="N72" s="43">
        <v>3</v>
      </c>
      <c r="O72" s="43">
        <v>4</v>
      </c>
      <c r="P72" s="43">
        <v>8</v>
      </c>
      <c r="Q72" s="43">
        <v>11</v>
      </c>
      <c r="R72" s="43">
        <v>6</v>
      </c>
      <c r="S72" s="43">
        <v>37</v>
      </c>
      <c r="T72" s="43"/>
      <c r="U72" s="43"/>
      <c r="V72" s="43">
        <v>3</v>
      </c>
      <c r="W72" s="43">
        <v>0</v>
      </c>
      <c r="X72" s="43"/>
      <c r="Y72" s="44">
        <f>SUM(E72:X72)</f>
        <v>86</v>
      </c>
      <c r="Z72" s="78">
        <f>SUM(D72-C72)</f>
        <v>0</v>
      </c>
      <c r="AA72" s="46">
        <f t="shared" si="7"/>
        <v>0</v>
      </c>
    </row>
    <row r="73" spans="1:27" ht="24" customHeight="1" x14ac:dyDescent="0.2">
      <c r="A73" s="76" t="s">
        <v>47</v>
      </c>
      <c r="B73" s="77"/>
      <c r="C73" s="43">
        <f>101824+8510+3624</f>
        <v>113958</v>
      </c>
      <c r="D73" s="43">
        <f>115164+8740+3728</f>
        <v>127632</v>
      </c>
      <c r="E73" s="43">
        <f>4774+152+48</f>
        <v>4974</v>
      </c>
      <c r="F73" s="43">
        <f>9092+578+222</f>
        <v>9892</v>
      </c>
      <c r="G73" s="43">
        <f>1160+70+60</f>
        <v>1290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f>822+46+20</f>
        <v>888</v>
      </c>
      <c r="N73" s="43">
        <f>1156+72+30</f>
        <v>1258</v>
      </c>
      <c r="O73" s="43">
        <v>0</v>
      </c>
      <c r="P73" s="43">
        <f>6270+414+172</f>
        <v>6856</v>
      </c>
      <c r="Q73" s="43">
        <f>12448+690+300</f>
        <v>13438</v>
      </c>
      <c r="R73" s="43">
        <f>3572+358+160</f>
        <v>4090</v>
      </c>
      <c r="S73" s="43">
        <f>19265+2462+1070</f>
        <v>22797</v>
      </c>
      <c r="T73" s="43"/>
      <c r="U73" s="43"/>
      <c r="V73" s="43">
        <f>1956+186+64+900</f>
        <v>3106</v>
      </c>
      <c r="W73" s="43">
        <v>0</v>
      </c>
      <c r="X73" s="43"/>
      <c r="Y73" s="44">
        <f>SUM(E73:X73)</f>
        <v>68589</v>
      </c>
      <c r="Z73" s="78">
        <f>SUM(D73-C73)</f>
        <v>13674</v>
      </c>
      <c r="AA73" s="46">
        <f t="shared" si="7"/>
        <v>0.11999157584373191</v>
      </c>
    </row>
    <row r="74" spans="1:27" ht="24" customHeight="1" x14ac:dyDescent="0.2">
      <c r="A74" s="76" t="s">
        <v>48</v>
      </c>
      <c r="B74" s="77"/>
      <c r="C74" s="43">
        <v>2835</v>
      </c>
      <c r="D74" s="43">
        <v>2897</v>
      </c>
      <c r="E74" s="43">
        <v>52</v>
      </c>
      <c r="F74" s="43">
        <v>136</v>
      </c>
      <c r="G74" s="43">
        <v>88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8</v>
      </c>
      <c r="N74" s="43">
        <v>40</v>
      </c>
      <c r="O74" s="43">
        <v>26</v>
      </c>
      <c r="P74" s="43">
        <v>158</v>
      </c>
      <c r="Q74" s="43">
        <v>250</v>
      </c>
      <c r="R74" s="43">
        <v>160</v>
      </c>
      <c r="S74" s="43">
        <v>490</v>
      </c>
      <c r="T74" s="43"/>
      <c r="U74" s="43"/>
      <c r="V74" s="43">
        <f>72+38</f>
        <v>110</v>
      </c>
      <c r="W74" s="43">
        <v>0</v>
      </c>
      <c r="X74" s="43"/>
      <c r="Y74" s="44">
        <f>SUM(E74:X74)</f>
        <v>1518</v>
      </c>
      <c r="Z74" s="78">
        <f>SUM(D74-C74)</f>
        <v>62</v>
      </c>
      <c r="AA74" s="46">
        <f t="shared" si="7"/>
        <v>2.1869488536155203E-2</v>
      </c>
    </row>
    <row r="75" spans="1:27" ht="24" customHeight="1" x14ac:dyDescent="0.2">
      <c r="A75" s="93" t="s">
        <v>49</v>
      </c>
      <c r="B75" s="94"/>
      <c r="C75" s="44">
        <f>SUM(C70:C74)</f>
        <v>252931</v>
      </c>
      <c r="D75" s="44">
        <f t="shared" ref="D75:X75" si="8">SUM(D70:D74)</f>
        <v>268591</v>
      </c>
      <c r="E75" s="44">
        <f t="shared" si="8"/>
        <v>8586</v>
      </c>
      <c r="F75" s="44">
        <f t="shared" si="8"/>
        <v>18190</v>
      </c>
      <c r="G75" s="44">
        <f t="shared" si="8"/>
        <v>4512</v>
      </c>
      <c r="H75" s="44">
        <f t="shared" si="8"/>
        <v>0</v>
      </c>
      <c r="I75" s="44">
        <f t="shared" si="8"/>
        <v>0</v>
      </c>
      <c r="J75" s="44">
        <f t="shared" si="8"/>
        <v>0</v>
      </c>
      <c r="K75" s="44">
        <f>SUM(K70:K74)</f>
        <v>0</v>
      </c>
      <c r="L75" s="44">
        <f t="shared" si="8"/>
        <v>0</v>
      </c>
      <c r="M75" s="44">
        <f t="shared" si="8"/>
        <v>1276</v>
      </c>
      <c r="N75" s="44">
        <f t="shared" si="8"/>
        <v>3471</v>
      </c>
      <c r="O75" s="44">
        <f t="shared" si="8"/>
        <v>1752</v>
      </c>
      <c r="P75" s="44">
        <f t="shared" si="8"/>
        <v>14197</v>
      </c>
      <c r="Q75" s="44">
        <f t="shared" si="8"/>
        <v>24829</v>
      </c>
      <c r="R75" s="44">
        <f t="shared" si="8"/>
        <v>10301</v>
      </c>
      <c r="S75" s="44">
        <f t="shared" si="8"/>
        <v>54506</v>
      </c>
      <c r="T75" s="44">
        <f t="shared" si="8"/>
        <v>0</v>
      </c>
      <c r="U75" s="44">
        <f t="shared" si="8"/>
        <v>0</v>
      </c>
      <c r="V75" s="44">
        <f t="shared" si="8"/>
        <v>7046</v>
      </c>
      <c r="W75" s="44">
        <f t="shared" si="8"/>
        <v>0</v>
      </c>
      <c r="X75" s="44">
        <f t="shared" si="8"/>
        <v>0</v>
      </c>
      <c r="Y75" s="44">
        <f>SUM(Y70:Y74)</f>
        <v>148666</v>
      </c>
      <c r="Z75" s="78">
        <f>SUM(Z70:Z74)</f>
        <v>15660</v>
      </c>
      <c r="AA75" s="46">
        <f t="shared" si="7"/>
        <v>6.1914118870363855E-2</v>
      </c>
    </row>
    <row r="76" spans="1:27" ht="24" customHeight="1" thickBot="1" x14ac:dyDescent="0.25">
      <c r="A76" s="95" t="s">
        <v>5</v>
      </c>
      <c r="B76" s="96"/>
      <c r="C76" s="81">
        <f t="shared" ref="C76:Z76" si="9">SUM(C75,C63)</f>
        <v>403931</v>
      </c>
      <c r="D76" s="81">
        <f t="shared" si="9"/>
        <v>422591</v>
      </c>
      <c r="E76" s="81">
        <f t="shared" si="9"/>
        <v>10586</v>
      </c>
      <c r="F76" s="81">
        <f t="shared" si="9"/>
        <v>20190</v>
      </c>
      <c r="G76" s="81">
        <f t="shared" si="9"/>
        <v>6512</v>
      </c>
      <c r="H76" s="81">
        <f t="shared" si="9"/>
        <v>0</v>
      </c>
      <c r="I76" s="81">
        <f t="shared" si="9"/>
        <v>0</v>
      </c>
      <c r="J76" s="81">
        <f t="shared" si="9"/>
        <v>0</v>
      </c>
      <c r="K76" s="81">
        <f>SUM(K75,K63)</f>
        <v>0</v>
      </c>
      <c r="L76" s="81">
        <f t="shared" si="9"/>
        <v>0</v>
      </c>
      <c r="M76" s="81">
        <f t="shared" si="9"/>
        <v>1276</v>
      </c>
      <c r="N76" s="81">
        <f t="shared" si="9"/>
        <v>28471</v>
      </c>
      <c r="O76" s="81">
        <f t="shared" si="9"/>
        <v>3752</v>
      </c>
      <c r="P76" s="81">
        <f t="shared" si="9"/>
        <v>16197</v>
      </c>
      <c r="Q76" s="81">
        <f t="shared" si="9"/>
        <v>30329</v>
      </c>
      <c r="R76" s="81">
        <f t="shared" si="9"/>
        <v>10301</v>
      </c>
      <c r="S76" s="81">
        <f t="shared" si="9"/>
        <v>54506</v>
      </c>
      <c r="T76" s="81">
        <f t="shared" si="9"/>
        <v>0</v>
      </c>
      <c r="U76" s="81">
        <f t="shared" si="9"/>
        <v>0</v>
      </c>
      <c r="V76" s="81">
        <f t="shared" si="9"/>
        <v>7046</v>
      </c>
      <c r="W76" s="81">
        <f t="shared" si="9"/>
        <v>0</v>
      </c>
      <c r="X76" s="81">
        <f t="shared" si="9"/>
        <v>0</v>
      </c>
      <c r="Y76" s="81">
        <f t="shared" si="9"/>
        <v>189166</v>
      </c>
      <c r="Z76" s="82">
        <f t="shared" si="9"/>
        <v>18660</v>
      </c>
      <c r="AA76" s="97">
        <f t="shared" si="7"/>
        <v>4.6196008724262314E-2</v>
      </c>
    </row>
    <row r="78" spans="1:27" ht="15.75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8"/>
      <c r="U78" s="8"/>
      <c r="V78" s="8"/>
    </row>
    <row r="79" spans="1:27" ht="16.5" thickBot="1" x14ac:dyDescent="0.3">
      <c r="A79" s="23" t="s">
        <v>50</v>
      </c>
      <c r="T79" s="98"/>
      <c r="U79" s="98"/>
    </row>
    <row r="80" spans="1:27" ht="25.5" x14ac:dyDescent="0.2">
      <c r="A80" s="56"/>
      <c r="B80" s="57"/>
      <c r="C80" s="84" t="s">
        <v>16</v>
      </c>
      <c r="D80" s="84" t="s">
        <v>16</v>
      </c>
      <c r="E80" s="29" t="s">
        <v>125</v>
      </c>
      <c r="F80" s="29" t="s">
        <v>125</v>
      </c>
      <c r="G80" s="29" t="s">
        <v>125</v>
      </c>
      <c r="H80" s="29"/>
      <c r="I80" s="29"/>
      <c r="J80" s="29"/>
      <c r="K80" s="29"/>
      <c r="L80" s="30"/>
      <c r="M80" s="30" t="s">
        <v>125</v>
      </c>
      <c r="N80" s="29" t="s">
        <v>133</v>
      </c>
      <c r="O80" s="30" t="s">
        <v>134</v>
      </c>
      <c r="P80" s="30" t="s">
        <v>136</v>
      </c>
      <c r="Q80" s="151" t="s">
        <v>136</v>
      </c>
      <c r="R80" s="29"/>
      <c r="S80" s="29"/>
      <c r="T80" s="29"/>
      <c r="U80" s="29" t="s">
        <v>130</v>
      </c>
      <c r="V80" s="30" t="s">
        <v>19</v>
      </c>
      <c r="W80" s="30" t="s">
        <v>19</v>
      </c>
      <c r="X80" s="29" t="s">
        <v>11</v>
      </c>
      <c r="Y80" s="84" t="s">
        <v>16</v>
      </c>
      <c r="Z80" s="85" t="s">
        <v>16</v>
      </c>
      <c r="AA80" s="86" t="s">
        <v>20</v>
      </c>
    </row>
    <row r="81" spans="1:27" x14ac:dyDescent="0.2">
      <c r="A81" s="99"/>
      <c r="C81" s="87" t="s">
        <v>22</v>
      </c>
      <c r="D81" s="87" t="s">
        <v>22</v>
      </c>
      <c r="E81" s="33" t="s">
        <v>126</v>
      </c>
      <c r="F81" s="33" t="s">
        <v>17</v>
      </c>
      <c r="G81" s="33" t="s">
        <v>128</v>
      </c>
      <c r="H81" s="33"/>
      <c r="I81" s="33"/>
      <c r="J81" s="33"/>
      <c r="K81" s="33"/>
      <c r="L81" s="33"/>
      <c r="M81" s="33" t="s">
        <v>131</v>
      </c>
      <c r="N81" s="33"/>
      <c r="O81" s="33" t="s">
        <v>124</v>
      </c>
      <c r="P81" s="33" t="s">
        <v>137</v>
      </c>
      <c r="Q81" s="152" t="s">
        <v>124</v>
      </c>
      <c r="R81" s="33"/>
      <c r="S81" s="33"/>
      <c r="T81" s="33"/>
      <c r="U81" s="33"/>
      <c r="V81" s="33"/>
      <c r="W81" s="33"/>
      <c r="X81" s="33" t="s">
        <v>24</v>
      </c>
      <c r="Y81" s="87" t="s">
        <v>25</v>
      </c>
      <c r="Z81" s="88" t="s">
        <v>22</v>
      </c>
      <c r="AA81" s="89" t="s">
        <v>22</v>
      </c>
    </row>
    <row r="82" spans="1:27" x14ac:dyDescent="0.2">
      <c r="A82" s="100"/>
      <c r="B82" s="101"/>
      <c r="C82" s="90" t="s">
        <v>27</v>
      </c>
      <c r="D82" s="90" t="s">
        <v>28</v>
      </c>
      <c r="E82" s="36" t="s">
        <v>23</v>
      </c>
      <c r="F82" s="36" t="s">
        <v>127</v>
      </c>
      <c r="G82" s="36" t="s">
        <v>129</v>
      </c>
      <c r="H82" s="36"/>
      <c r="I82" s="36"/>
      <c r="J82" s="37"/>
      <c r="K82" s="37"/>
      <c r="L82" s="37"/>
      <c r="M82" s="37" t="s">
        <v>132</v>
      </c>
      <c r="N82" s="37"/>
      <c r="O82" s="38" t="s">
        <v>135</v>
      </c>
      <c r="P82" s="37"/>
      <c r="Q82" s="153" t="s">
        <v>135</v>
      </c>
      <c r="R82" s="36"/>
      <c r="S82" s="36"/>
      <c r="T82" s="36"/>
      <c r="U82" s="36"/>
      <c r="V82" s="37"/>
      <c r="W82" s="36"/>
      <c r="X82" s="36"/>
      <c r="Y82" s="90" t="s">
        <v>29</v>
      </c>
      <c r="Z82" s="91" t="s">
        <v>30</v>
      </c>
      <c r="AA82" s="92" t="s">
        <v>30</v>
      </c>
    </row>
    <row r="83" spans="1:27" ht="26.25" customHeight="1" x14ac:dyDescent="0.2">
      <c r="A83" s="66" t="s">
        <v>51</v>
      </c>
      <c r="B83" s="67"/>
      <c r="C83" s="72">
        <f>17368+6611+3877-4500</f>
        <v>23356</v>
      </c>
      <c r="D83" s="72">
        <v>27478</v>
      </c>
      <c r="E83" s="72">
        <v>138</v>
      </c>
      <c r="F83" s="72">
        <v>1500</v>
      </c>
      <c r="G83" s="72">
        <v>3500</v>
      </c>
      <c r="H83" s="72"/>
      <c r="I83" s="72"/>
      <c r="J83" s="72"/>
      <c r="K83" s="72"/>
      <c r="L83" s="72"/>
      <c r="M83" s="72"/>
      <c r="N83" s="72">
        <v>500</v>
      </c>
      <c r="O83" s="72">
        <v>1790</v>
      </c>
      <c r="P83" s="72">
        <v>1442</v>
      </c>
      <c r="Q83" s="72">
        <v>861</v>
      </c>
      <c r="R83" s="72">
        <f>1593+500</f>
        <v>2093</v>
      </c>
      <c r="S83" s="72">
        <v>500</v>
      </c>
      <c r="T83" s="72"/>
      <c r="U83" s="72"/>
      <c r="V83" s="72">
        <f>2500+3500</f>
        <v>6000</v>
      </c>
      <c r="W83" s="72">
        <v>5000</v>
      </c>
      <c r="X83" s="72">
        <v>1000</v>
      </c>
      <c r="Y83" s="73">
        <f>SUM(E83:X83)</f>
        <v>24324</v>
      </c>
      <c r="Z83" s="74">
        <f>D83-C83</f>
        <v>4122</v>
      </c>
      <c r="AA83" s="75">
        <f t="shared" ref="AA83:AA88" si="10">Z83/C83</f>
        <v>0.17648569960609695</v>
      </c>
    </row>
    <row r="84" spans="1:27" ht="26.25" customHeight="1" x14ac:dyDescent="0.2">
      <c r="A84" s="155" t="s">
        <v>52</v>
      </c>
      <c r="B84" s="156"/>
      <c r="C84" s="72">
        <f>3295+1000</f>
        <v>4295</v>
      </c>
      <c r="D84" s="72">
        <f>3680+1000</f>
        <v>4680</v>
      </c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>
        <v>772</v>
      </c>
      <c r="Q84" s="72"/>
      <c r="R84" s="72"/>
      <c r="S84" s="72"/>
      <c r="T84" s="72"/>
      <c r="U84" s="72"/>
      <c r="V84" s="72"/>
      <c r="W84" s="72"/>
      <c r="X84" s="72"/>
      <c r="Y84" s="73">
        <f>SUM(E84:X84)</f>
        <v>772</v>
      </c>
      <c r="Z84" s="74">
        <f>D84-C84</f>
        <v>385</v>
      </c>
      <c r="AA84" s="75">
        <f t="shared" si="10"/>
        <v>8.9639115250291029E-2</v>
      </c>
    </row>
    <row r="85" spans="1:27" ht="26.25" customHeight="1" x14ac:dyDescent="0.2">
      <c r="A85" s="155" t="s">
        <v>53</v>
      </c>
      <c r="B85" s="156"/>
      <c r="C85" s="72">
        <v>2000</v>
      </c>
      <c r="D85" s="72">
        <v>3000</v>
      </c>
      <c r="E85" s="72"/>
      <c r="F85" s="72"/>
      <c r="G85" s="72">
        <v>1000</v>
      </c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3">
        <f>SUM(E85:X85)</f>
        <v>1000</v>
      </c>
      <c r="Z85" s="74">
        <f>D85-C85</f>
        <v>1000</v>
      </c>
      <c r="AA85" s="75">
        <f t="shared" si="10"/>
        <v>0.5</v>
      </c>
    </row>
    <row r="86" spans="1:27" ht="23.1" customHeight="1" x14ac:dyDescent="0.2">
      <c r="A86" s="76" t="s">
        <v>54</v>
      </c>
      <c r="B86" s="102"/>
      <c r="C86" s="43">
        <v>11550</v>
      </c>
      <c r="D86" s="43">
        <v>13000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>
        <v>2500</v>
      </c>
      <c r="S86" s="43"/>
      <c r="T86" s="43"/>
      <c r="U86" s="43"/>
      <c r="V86" s="43"/>
      <c r="W86" s="43"/>
      <c r="X86" s="43">
        <v>2000</v>
      </c>
      <c r="Y86" s="44">
        <f>SUM(E86:X86)</f>
        <v>4500</v>
      </c>
      <c r="Z86" s="74">
        <f>D86-C86</f>
        <v>1450</v>
      </c>
      <c r="AA86" s="75">
        <f t="shared" si="10"/>
        <v>0.12554112554112554</v>
      </c>
    </row>
    <row r="87" spans="1:27" ht="23.1" customHeight="1" x14ac:dyDescent="0.2">
      <c r="A87" s="76" t="s">
        <v>55</v>
      </c>
      <c r="B87" s="102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4">
        <f>SUM(E87:X87)</f>
        <v>0</v>
      </c>
      <c r="Z87" s="74">
        <f>D87-C87</f>
        <v>0</v>
      </c>
      <c r="AA87" s="75" t="e">
        <f t="shared" si="10"/>
        <v>#DIV/0!</v>
      </c>
    </row>
    <row r="88" spans="1:27" ht="23.1" customHeight="1" thickBot="1" x14ac:dyDescent="0.25">
      <c r="A88" s="95" t="s">
        <v>56</v>
      </c>
      <c r="B88" s="103"/>
      <c r="C88" s="81">
        <f>SUM(C83:C87)</f>
        <v>41201</v>
      </c>
      <c r="D88" s="81">
        <f t="shared" ref="D88:Z88" si="11">SUM(D83:D87)</f>
        <v>48158</v>
      </c>
      <c r="E88" s="81">
        <f t="shared" si="11"/>
        <v>138</v>
      </c>
      <c r="F88" s="81">
        <f t="shared" si="11"/>
        <v>1500</v>
      </c>
      <c r="G88" s="81">
        <f t="shared" si="11"/>
        <v>4500</v>
      </c>
      <c r="H88" s="81">
        <f t="shared" si="11"/>
        <v>0</v>
      </c>
      <c r="I88" s="81">
        <f t="shared" si="11"/>
        <v>0</v>
      </c>
      <c r="J88" s="81">
        <f t="shared" si="11"/>
        <v>0</v>
      </c>
      <c r="K88" s="81">
        <f>SUM(K83:K87)</f>
        <v>0</v>
      </c>
      <c r="L88" s="81">
        <f t="shared" si="11"/>
        <v>0</v>
      </c>
      <c r="M88" s="81">
        <f t="shared" si="11"/>
        <v>0</v>
      </c>
      <c r="N88" s="81">
        <f t="shared" si="11"/>
        <v>500</v>
      </c>
      <c r="O88" s="81">
        <f t="shared" si="11"/>
        <v>1790</v>
      </c>
      <c r="P88" s="81">
        <f t="shared" si="11"/>
        <v>2214</v>
      </c>
      <c r="Q88" s="81">
        <f t="shared" si="11"/>
        <v>861</v>
      </c>
      <c r="R88" s="81">
        <f t="shared" si="11"/>
        <v>4593</v>
      </c>
      <c r="S88" s="81">
        <f t="shared" si="11"/>
        <v>500</v>
      </c>
      <c r="T88" s="81">
        <f t="shared" si="11"/>
        <v>0</v>
      </c>
      <c r="U88" s="81">
        <f t="shared" si="11"/>
        <v>0</v>
      </c>
      <c r="V88" s="81">
        <f t="shared" si="11"/>
        <v>6000</v>
      </c>
      <c r="W88" s="81">
        <f t="shared" si="11"/>
        <v>5000</v>
      </c>
      <c r="X88" s="81">
        <f t="shared" si="11"/>
        <v>3000</v>
      </c>
      <c r="Y88" s="81">
        <f t="shared" si="11"/>
        <v>30596</v>
      </c>
      <c r="Z88" s="82">
        <f t="shared" si="11"/>
        <v>6957</v>
      </c>
      <c r="AA88" s="83">
        <f t="shared" si="10"/>
        <v>0.1688551248756098</v>
      </c>
    </row>
    <row r="89" spans="1:27" ht="15.75" x14ac:dyDescent="0.25">
      <c r="A89" s="8" t="s">
        <v>57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8"/>
      <c r="U89" s="8"/>
      <c r="V89" s="8"/>
    </row>
    <row r="90" spans="1:27" ht="15.75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8"/>
      <c r="U90" s="8"/>
      <c r="V90" s="8"/>
    </row>
    <row r="91" spans="1:27" ht="23.1" customHeight="1" thickBot="1" x14ac:dyDescent="0.25">
      <c r="A91" s="104" t="s">
        <v>58</v>
      </c>
      <c r="B91" s="104"/>
      <c r="C91" s="1" t="s">
        <v>59</v>
      </c>
      <c r="D91" s="1" t="s">
        <v>59</v>
      </c>
      <c r="Y91" s="1" t="s">
        <v>59</v>
      </c>
    </row>
    <row r="92" spans="1:27" ht="27" customHeight="1" x14ac:dyDescent="0.2">
      <c r="A92" s="56"/>
      <c r="B92" s="57"/>
      <c r="C92" s="84" t="s">
        <v>16</v>
      </c>
      <c r="D92" s="84" t="s">
        <v>16</v>
      </c>
      <c r="E92" s="29" t="s">
        <v>125</v>
      </c>
      <c r="F92" s="29" t="s">
        <v>125</v>
      </c>
      <c r="G92" s="29" t="s">
        <v>125</v>
      </c>
      <c r="H92" s="29"/>
      <c r="I92" s="29"/>
      <c r="J92" s="29"/>
      <c r="K92" s="29"/>
      <c r="L92" s="30"/>
      <c r="M92" s="30" t="s">
        <v>125</v>
      </c>
      <c r="N92" s="29" t="s">
        <v>133</v>
      </c>
      <c r="O92" s="30" t="s">
        <v>134</v>
      </c>
      <c r="P92" s="30" t="s">
        <v>136</v>
      </c>
      <c r="Q92" s="151" t="s">
        <v>136</v>
      </c>
      <c r="R92" s="29"/>
      <c r="S92" s="29"/>
      <c r="T92" s="29"/>
      <c r="U92" s="29" t="s">
        <v>130</v>
      </c>
      <c r="V92" s="30" t="s">
        <v>19</v>
      </c>
      <c r="W92" s="30" t="s">
        <v>19</v>
      </c>
      <c r="X92" s="29" t="s">
        <v>11</v>
      </c>
      <c r="Y92" s="84" t="s">
        <v>16</v>
      </c>
      <c r="Z92" s="85" t="s">
        <v>16</v>
      </c>
      <c r="AA92" s="86" t="s">
        <v>20</v>
      </c>
    </row>
    <row r="93" spans="1:27" x14ac:dyDescent="0.2">
      <c r="A93" s="61"/>
      <c r="B93" s="62"/>
      <c r="C93" s="87" t="s">
        <v>22</v>
      </c>
      <c r="D93" s="87" t="s">
        <v>22</v>
      </c>
      <c r="E93" s="33" t="s">
        <v>126</v>
      </c>
      <c r="F93" s="33" t="s">
        <v>17</v>
      </c>
      <c r="G93" s="33" t="s">
        <v>128</v>
      </c>
      <c r="H93" s="33"/>
      <c r="I93" s="33"/>
      <c r="J93" s="33"/>
      <c r="K93" s="33"/>
      <c r="L93" s="33"/>
      <c r="M93" s="33" t="s">
        <v>131</v>
      </c>
      <c r="N93" s="33"/>
      <c r="O93" s="33" t="s">
        <v>124</v>
      </c>
      <c r="P93" s="33" t="s">
        <v>137</v>
      </c>
      <c r="Q93" s="152" t="s">
        <v>124</v>
      </c>
      <c r="R93" s="33"/>
      <c r="S93" s="33"/>
      <c r="T93" s="33"/>
      <c r="U93" s="33"/>
      <c r="V93" s="33"/>
      <c r="W93" s="33"/>
      <c r="X93" s="33" t="s">
        <v>24</v>
      </c>
      <c r="Y93" s="87" t="s">
        <v>25</v>
      </c>
      <c r="Z93" s="88" t="s">
        <v>22</v>
      </c>
      <c r="AA93" s="89" t="s">
        <v>22</v>
      </c>
    </row>
    <row r="94" spans="1:27" x14ac:dyDescent="0.2">
      <c r="A94" s="66"/>
      <c r="B94" s="67"/>
      <c r="C94" s="90" t="s">
        <v>27</v>
      </c>
      <c r="D94" s="90" t="s">
        <v>28</v>
      </c>
      <c r="E94" s="36" t="s">
        <v>23</v>
      </c>
      <c r="F94" s="36" t="s">
        <v>127</v>
      </c>
      <c r="G94" s="36" t="s">
        <v>129</v>
      </c>
      <c r="H94" s="36"/>
      <c r="I94" s="36"/>
      <c r="J94" s="37"/>
      <c r="K94" s="37"/>
      <c r="L94" s="37"/>
      <c r="M94" s="37" t="s">
        <v>132</v>
      </c>
      <c r="N94" s="37"/>
      <c r="O94" s="38" t="s">
        <v>135</v>
      </c>
      <c r="P94" s="37"/>
      <c r="Q94" s="153" t="s">
        <v>135</v>
      </c>
      <c r="R94" s="36"/>
      <c r="S94" s="36"/>
      <c r="T94" s="36"/>
      <c r="U94" s="36"/>
      <c r="V94" s="37"/>
      <c r="W94" s="36"/>
      <c r="X94" s="36"/>
      <c r="Y94" s="90" t="s">
        <v>29</v>
      </c>
      <c r="Z94" s="91" t="s">
        <v>30</v>
      </c>
      <c r="AA94" s="92" t="s">
        <v>30</v>
      </c>
    </row>
    <row r="95" spans="1:27" ht="23.1" customHeight="1" x14ac:dyDescent="0.2">
      <c r="A95" s="166" t="s">
        <v>60</v>
      </c>
      <c r="B95" s="167"/>
      <c r="C95" s="72">
        <v>11008</v>
      </c>
      <c r="D95" s="72">
        <v>11250</v>
      </c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>
        <v>2000</v>
      </c>
      <c r="S95" s="72">
        <v>2000</v>
      </c>
      <c r="T95" s="72"/>
      <c r="U95" s="72"/>
      <c r="V95" s="72"/>
      <c r="W95" s="72"/>
      <c r="X95" s="72"/>
      <c r="Y95" s="73">
        <f>SUM(E95:X95)</f>
        <v>4000</v>
      </c>
      <c r="Z95" s="74">
        <f>D95-C95</f>
        <v>242</v>
      </c>
      <c r="AA95" s="75">
        <f t="shared" ref="AA95:AA100" si="12">Z95/C95</f>
        <v>2.1984011627906978E-2</v>
      </c>
    </row>
    <row r="96" spans="1:27" ht="23.1" customHeight="1" x14ac:dyDescent="0.2">
      <c r="A96" s="76" t="s">
        <v>61</v>
      </c>
      <c r="B96" s="102"/>
      <c r="C96" s="43">
        <v>25023</v>
      </c>
      <c r="D96" s="43">
        <v>27282</v>
      </c>
      <c r="E96" s="43"/>
      <c r="F96" s="43">
        <v>1411</v>
      </c>
      <c r="G96" s="43">
        <v>1500</v>
      </c>
      <c r="H96" s="43"/>
      <c r="I96" s="43"/>
      <c r="J96" s="43"/>
      <c r="K96" s="43"/>
      <c r="L96" s="43"/>
      <c r="M96" s="43"/>
      <c r="N96" s="43">
        <v>750</v>
      </c>
      <c r="O96" s="43">
        <v>1500</v>
      </c>
      <c r="P96" s="43">
        <v>1500</v>
      </c>
      <c r="Q96" s="43">
        <v>2319</v>
      </c>
      <c r="R96" s="43">
        <v>1664</v>
      </c>
      <c r="S96" s="43">
        <v>4500</v>
      </c>
      <c r="T96" s="43"/>
      <c r="U96" s="43"/>
      <c r="V96" s="43"/>
      <c r="W96" s="43"/>
      <c r="X96" s="43"/>
      <c r="Y96" s="44">
        <f>SUM(E96:X96)</f>
        <v>15144</v>
      </c>
      <c r="Z96" s="74">
        <f>D96-C96</f>
        <v>2259</v>
      </c>
      <c r="AA96" s="75">
        <f t="shared" si="12"/>
        <v>9.0276945210406426E-2</v>
      </c>
    </row>
    <row r="97" spans="1:27" ht="23.1" customHeight="1" x14ac:dyDescent="0.2">
      <c r="A97" s="166" t="s">
        <v>62</v>
      </c>
      <c r="B97" s="167"/>
      <c r="C97" s="43">
        <v>18900</v>
      </c>
      <c r="D97" s="43">
        <v>18808</v>
      </c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>
        <v>2250</v>
      </c>
      <c r="S97" s="43">
        <v>2000</v>
      </c>
      <c r="T97" s="43"/>
      <c r="U97" s="43">
        <v>1808</v>
      </c>
      <c r="V97" s="43"/>
      <c r="W97" s="43"/>
      <c r="X97" s="43">
        <v>3000</v>
      </c>
      <c r="Y97" s="44">
        <f>SUM(E97:X97)</f>
        <v>9058</v>
      </c>
      <c r="Z97" s="74">
        <f>D97-C97</f>
        <v>-92</v>
      </c>
      <c r="AA97" s="75">
        <f t="shared" si="12"/>
        <v>-4.867724867724868E-3</v>
      </c>
    </row>
    <row r="98" spans="1:27" ht="23.1" customHeight="1" x14ac:dyDescent="0.2">
      <c r="A98" s="166" t="s">
        <v>63</v>
      </c>
      <c r="B98" s="167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4">
        <f>SUM(E98:X98)</f>
        <v>0</v>
      </c>
      <c r="Z98" s="74">
        <f>D98-C98</f>
        <v>0</v>
      </c>
      <c r="AA98" s="75" t="e">
        <f t="shared" si="12"/>
        <v>#DIV/0!</v>
      </c>
    </row>
    <row r="99" spans="1:27" ht="23.1" customHeight="1" x14ac:dyDescent="0.2">
      <c r="A99" s="76" t="s">
        <v>64</v>
      </c>
      <c r="B99" s="10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4">
        <f>SUM(E99:X99)</f>
        <v>0</v>
      </c>
      <c r="Z99" s="74">
        <f>D99-C99</f>
        <v>0</v>
      </c>
      <c r="AA99" s="75" t="e">
        <f t="shared" si="12"/>
        <v>#DIV/0!</v>
      </c>
    </row>
    <row r="100" spans="1:27" ht="23.1" customHeight="1" thickBot="1" x14ac:dyDescent="0.25">
      <c r="A100" s="168" t="s">
        <v>65</v>
      </c>
      <c r="B100" s="169"/>
      <c r="C100" s="81">
        <f>SUM(C95:C99)</f>
        <v>54931</v>
      </c>
      <c r="D100" s="81">
        <f t="shared" ref="D100:Z100" si="13">SUM(D95:D99)</f>
        <v>57340</v>
      </c>
      <c r="E100" s="81">
        <f t="shared" si="13"/>
        <v>0</v>
      </c>
      <c r="F100" s="81">
        <f t="shared" si="13"/>
        <v>1411</v>
      </c>
      <c r="G100" s="81">
        <f t="shared" si="13"/>
        <v>1500</v>
      </c>
      <c r="H100" s="81">
        <f t="shared" si="13"/>
        <v>0</v>
      </c>
      <c r="I100" s="81">
        <f t="shared" si="13"/>
        <v>0</v>
      </c>
      <c r="J100" s="81">
        <f t="shared" si="13"/>
        <v>0</v>
      </c>
      <c r="K100" s="81">
        <f>SUM(K95:K99)</f>
        <v>0</v>
      </c>
      <c r="L100" s="81">
        <f t="shared" si="13"/>
        <v>0</v>
      </c>
      <c r="M100" s="81">
        <f t="shared" si="13"/>
        <v>0</v>
      </c>
      <c r="N100" s="81">
        <f t="shared" si="13"/>
        <v>750</v>
      </c>
      <c r="O100" s="81">
        <f t="shared" si="13"/>
        <v>1500</v>
      </c>
      <c r="P100" s="81">
        <f t="shared" si="13"/>
        <v>1500</v>
      </c>
      <c r="Q100" s="81">
        <f t="shared" si="13"/>
        <v>2319</v>
      </c>
      <c r="R100" s="81">
        <f t="shared" si="13"/>
        <v>5914</v>
      </c>
      <c r="S100" s="81">
        <f t="shared" si="13"/>
        <v>8500</v>
      </c>
      <c r="T100" s="81">
        <f t="shared" si="13"/>
        <v>0</v>
      </c>
      <c r="U100" s="81">
        <f t="shared" si="13"/>
        <v>1808</v>
      </c>
      <c r="V100" s="81">
        <f t="shared" si="13"/>
        <v>0</v>
      </c>
      <c r="W100" s="81">
        <f t="shared" si="13"/>
        <v>0</v>
      </c>
      <c r="X100" s="81">
        <f t="shared" si="13"/>
        <v>3000</v>
      </c>
      <c r="Y100" s="81">
        <f t="shared" si="13"/>
        <v>28202</v>
      </c>
      <c r="Z100" s="82">
        <f t="shared" si="13"/>
        <v>2409</v>
      </c>
      <c r="AA100" s="83">
        <f t="shared" si="12"/>
        <v>4.3855018113633466E-2</v>
      </c>
    </row>
    <row r="102" spans="1:27" ht="15.75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8"/>
      <c r="U102" s="8"/>
      <c r="V102" s="8"/>
    </row>
    <row r="103" spans="1:27" ht="15" thickBot="1" x14ac:dyDescent="0.25">
      <c r="A103" s="104" t="s">
        <v>66</v>
      </c>
      <c r="B103" s="104"/>
    </row>
    <row r="104" spans="1:27" ht="27" customHeight="1" x14ac:dyDescent="0.2">
      <c r="A104" s="56"/>
      <c r="B104" s="57"/>
      <c r="C104" s="84" t="s">
        <v>16</v>
      </c>
      <c r="D104" s="84" t="s">
        <v>16</v>
      </c>
      <c r="E104" s="29" t="s">
        <v>125</v>
      </c>
      <c r="F104" s="29" t="s">
        <v>125</v>
      </c>
      <c r="G104" s="29" t="s">
        <v>125</v>
      </c>
      <c r="H104" s="29"/>
      <c r="I104" s="29"/>
      <c r="J104" s="29"/>
      <c r="K104" s="29"/>
      <c r="L104" s="30"/>
      <c r="M104" s="30" t="s">
        <v>125</v>
      </c>
      <c r="N104" s="29" t="s">
        <v>133</v>
      </c>
      <c r="O104" s="30" t="s">
        <v>134</v>
      </c>
      <c r="P104" s="30" t="s">
        <v>136</v>
      </c>
      <c r="Q104" s="151" t="s">
        <v>136</v>
      </c>
      <c r="R104" s="29"/>
      <c r="S104" s="29"/>
      <c r="T104" s="29"/>
      <c r="U104" s="29" t="s">
        <v>130</v>
      </c>
      <c r="V104" s="30" t="s">
        <v>19</v>
      </c>
      <c r="W104" s="30" t="s">
        <v>19</v>
      </c>
      <c r="X104" s="29" t="s">
        <v>11</v>
      </c>
      <c r="Y104" s="84" t="s">
        <v>16</v>
      </c>
      <c r="Z104" s="85" t="s">
        <v>16</v>
      </c>
      <c r="AA104" s="86" t="s">
        <v>20</v>
      </c>
    </row>
    <row r="105" spans="1:27" x14ac:dyDescent="0.2">
      <c r="A105" s="61"/>
      <c r="B105" s="62"/>
      <c r="C105" s="87" t="s">
        <v>22</v>
      </c>
      <c r="D105" s="87" t="s">
        <v>22</v>
      </c>
      <c r="E105" s="33" t="s">
        <v>126</v>
      </c>
      <c r="F105" s="33" t="s">
        <v>17</v>
      </c>
      <c r="G105" s="33" t="s">
        <v>128</v>
      </c>
      <c r="H105" s="33"/>
      <c r="I105" s="33"/>
      <c r="J105" s="33"/>
      <c r="K105" s="33"/>
      <c r="L105" s="33"/>
      <c r="M105" s="33" t="s">
        <v>131</v>
      </c>
      <c r="N105" s="33"/>
      <c r="O105" s="33" t="s">
        <v>124</v>
      </c>
      <c r="P105" s="33" t="s">
        <v>137</v>
      </c>
      <c r="Q105" s="152" t="s">
        <v>124</v>
      </c>
      <c r="R105" s="33"/>
      <c r="S105" s="33"/>
      <c r="T105" s="33"/>
      <c r="U105" s="33"/>
      <c r="V105" s="33"/>
      <c r="W105" s="33"/>
      <c r="X105" s="33" t="s">
        <v>24</v>
      </c>
      <c r="Y105" s="87" t="s">
        <v>25</v>
      </c>
      <c r="Z105" s="88" t="s">
        <v>22</v>
      </c>
      <c r="AA105" s="89" t="s">
        <v>22</v>
      </c>
    </row>
    <row r="106" spans="1:27" x14ac:dyDescent="0.2">
      <c r="A106" s="66"/>
      <c r="B106" s="67"/>
      <c r="C106" s="90" t="s">
        <v>27</v>
      </c>
      <c r="D106" s="90" t="s">
        <v>28</v>
      </c>
      <c r="E106" s="36" t="s">
        <v>23</v>
      </c>
      <c r="F106" s="36" t="s">
        <v>127</v>
      </c>
      <c r="G106" s="36" t="s">
        <v>129</v>
      </c>
      <c r="H106" s="36"/>
      <c r="I106" s="36"/>
      <c r="J106" s="37"/>
      <c r="K106" s="37"/>
      <c r="L106" s="37"/>
      <c r="M106" s="37" t="s">
        <v>132</v>
      </c>
      <c r="N106" s="37"/>
      <c r="O106" s="38" t="s">
        <v>135</v>
      </c>
      <c r="P106" s="37"/>
      <c r="Q106" s="153" t="s">
        <v>135</v>
      </c>
      <c r="R106" s="36"/>
      <c r="S106" s="36"/>
      <c r="T106" s="36"/>
      <c r="U106" s="36"/>
      <c r="V106" s="37"/>
      <c r="W106" s="36"/>
      <c r="X106" s="36"/>
      <c r="Y106" s="90" t="s">
        <v>29</v>
      </c>
      <c r="Z106" s="91" t="s">
        <v>30</v>
      </c>
      <c r="AA106" s="92" t="s">
        <v>30</v>
      </c>
    </row>
    <row r="107" spans="1:27" ht="23.1" customHeight="1" x14ac:dyDescent="0.2">
      <c r="A107" s="100" t="s">
        <v>67</v>
      </c>
      <c r="B107" s="101"/>
      <c r="C107" s="72">
        <f>24065+4000</f>
        <v>28065</v>
      </c>
      <c r="D107" s="72">
        <f>24511+4000</f>
        <v>28511</v>
      </c>
      <c r="E107" s="72"/>
      <c r="F107" s="72">
        <v>1902</v>
      </c>
      <c r="G107" s="72">
        <v>500</v>
      </c>
      <c r="H107" s="72"/>
      <c r="I107" s="72"/>
      <c r="J107" s="72"/>
      <c r="K107" s="72"/>
      <c r="L107" s="72"/>
      <c r="M107" s="72">
        <v>705</v>
      </c>
      <c r="N107" s="72">
        <v>1040</v>
      </c>
      <c r="O107" s="72">
        <v>1500</v>
      </c>
      <c r="P107" s="72">
        <v>1511</v>
      </c>
      <c r="Q107" s="72"/>
      <c r="R107" s="72">
        <v>4042</v>
      </c>
      <c r="S107" s="72">
        <v>4475</v>
      </c>
      <c r="T107" s="72"/>
      <c r="U107" s="72"/>
      <c r="V107" s="72">
        <f>2500+2500</f>
        <v>5000</v>
      </c>
      <c r="W107" s="72">
        <v>0</v>
      </c>
      <c r="X107" s="72"/>
      <c r="Y107" s="73">
        <f>SUM(E107:X107)</f>
        <v>20675</v>
      </c>
      <c r="Z107" s="74">
        <f>D107-C107</f>
        <v>446</v>
      </c>
      <c r="AA107" s="75">
        <f>Z107/C107</f>
        <v>1.5891680028505255E-2</v>
      </c>
    </row>
    <row r="108" spans="1:27" ht="23.1" customHeight="1" x14ac:dyDescent="0.2">
      <c r="A108" s="105" t="s">
        <v>68</v>
      </c>
      <c r="B108" s="106"/>
      <c r="C108" s="43">
        <v>14113</v>
      </c>
      <c r="D108" s="43">
        <v>12767</v>
      </c>
      <c r="E108" s="43"/>
      <c r="F108" s="43"/>
      <c r="G108" s="43"/>
      <c r="H108" s="43"/>
      <c r="I108" s="43"/>
      <c r="J108" s="43"/>
      <c r="K108" s="43"/>
      <c r="L108" s="43"/>
      <c r="M108" s="43"/>
      <c r="N108" s="43">
        <v>750</v>
      </c>
      <c r="O108" s="43"/>
      <c r="P108" s="43">
        <v>1000</v>
      </c>
      <c r="Q108" s="43">
        <v>1000</v>
      </c>
      <c r="R108" s="43">
        <v>1500</v>
      </c>
      <c r="S108" s="43">
        <v>3000</v>
      </c>
      <c r="T108" s="43"/>
      <c r="U108" s="43"/>
      <c r="V108" s="43"/>
      <c r="W108" s="43"/>
      <c r="X108" s="43"/>
      <c r="Y108" s="44">
        <f>SUM(E108:X108)</f>
        <v>7250</v>
      </c>
      <c r="Z108" s="74">
        <f>D108-C108</f>
        <v>-1346</v>
      </c>
      <c r="AA108" s="75">
        <f>Z108/C108</f>
        <v>-9.5373060299015086E-2</v>
      </c>
    </row>
    <row r="109" spans="1:27" ht="23.1" customHeight="1" x14ac:dyDescent="0.2">
      <c r="A109" s="105" t="s">
        <v>69</v>
      </c>
      <c r="B109" s="106"/>
      <c r="C109" s="43">
        <v>16952</v>
      </c>
      <c r="D109" s="43">
        <v>15100</v>
      </c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>
        <v>1500</v>
      </c>
      <c r="S109" s="43">
        <v>2000</v>
      </c>
      <c r="T109" s="43"/>
      <c r="U109" s="43">
        <v>1600</v>
      </c>
      <c r="V109" s="43"/>
      <c r="W109" s="43"/>
      <c r="X109" s="43"/>
      <c r="Y109" s="44">
        <f>SUM(E109:X109)</f>
        <v>5100</v>
      </c>
      <c r="Z109" s="74">
        <f>D109-C109</f>
        <v>-1852</v>
      </c>
      <c r="AA109" s="75">
        <f>Z109/C109</f>
        <v>-0.10924964605946201</v>
      </c>
    </row>
    <row r="110" spans="1:27" ht="27" customHeight="1" thickBot="1" x14ac:dyDescent="0.25">
      <c r="A110" s="168" t="s">
        <v>70</v>
      </c>
      <c r="B110" s="169"/>
      <c r="C110" s="81">
        <f t="shared" ref="C110:Y110" si="14">SUM(C107:C109)</f>
        <v>59130</v>
      </c>
      <c r="D110" s="81">
        <f t="shared" si="14"/>
        <v>56378</v>
      </c>
      <c r="E110" s="81">
        <f t="shared" si="14"/>
        <v>0</v>
      </c>
      <c r="F110" s="81">
        <f>SUM(F107:F109)</f>
        <v>1902</v>
      </c>
      <c r="G110" s="81">
        <f t="shared" si="14"/>
        <v>500</v>
      </c>
      <c r="H110" s="81">
        <f t="shared" si="14"/>
        <v>0</v>
      </c>
      <c r="I110" s="81">
        <f t="shared" si="14"/>
        <v>0</v>
      </c>
      <c r="J110" s="81">
        <f t="shared" si="14"/>
        <v>0</v>
      </c>
      <c r="K110" s="81">
        <f>SUM(K107:K109)</f>
        <v>0</v>
      </c>
      <c r="L110" s="81">
        <f t="shared" si="14"/>
        <v>0</v>
      </c>
      <c r="M110" s="81">
        <f t="shared" si="14"/>
        <v>705</v>
      </c>
      <c r="N110" s="81">
        <f t="shared" si="14"/>
        <v>1790</v>
      </c>
      <c r="O110" s="81">
        <f t="shared" si="14"/>
        <v>1500</v>
      </c>
      <c r="P110" s="81">
        <f t="shared" si="14"/>
        <v>2511</v>
      </c>
      <c r="Q110" s="81">
        <f t="shared" si="14"/>
        <v>1000</v>
      </c>
      <c r="R110" s="81">
        <f t="shared" si="14"/>
        <v>7042</v>
      </c>
      <c r="S110" s="81">
        <f t="shared" si="14"/>
        <v>9475</v>
      </c>
      <c r="T110" s="81">
        <f t="shared" si="14"/>
        <v>0</v>
      </c>
      <c r="U110" s="81">
        <f t="shared" si="14"/>
        <v>1600</v>
      </c>
      <c r="V110" s="81">
        <f t="shared" si="14"/>
        <v>5000</v>
      </c>
      <c r="W110" s="81">
        <f t="shared" si="14"/>
        <v>0</v>
      </c>
      <c r="X110" s="81">
        <f t="shared" si="14"/>
        <v>0</v>
      </c>
      <c r="Y110" s="81">
        <f t="shared" si="14"/>
        <v>33025</v>
      </c>
      <c r="Z110" s="82">
        <f>SUM(Z107:Z109)</f>
        <v>-2752</v>
      </c>
      <c r="AA110" s="83">
        <f>Z110/C110</f>
        <v>-4.6541518687637409E-2</v>
      </c>
    </row>
    <row r="111" spans="1:27" ht="15.75" customHeight="1" x14ac:dyDescent="0.2">
      <c r="A111" s="107"/>
      <c r="B111" s="107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</row>
    <row r="113" spans="1:27" ht="15" thickBot="1" x14ac:dyDescent="0.25">
      <c r="A113" s="104" t="s">
        <v>71</v>
      </c>
      <c r="B113" s="104"/>
    </row>
    <row r="114" spans="1:27" ht="27" customHeight="1" x14ac:dyDescent="0.2">
      <c r="A114" s="56"/>
      <c r="B114" s="57"/>
      <c r="C114" s="84" t="s">
        <v>16</v>
      </c>
      <c r="D114" s="84" t="s">
        <v>16</v>
      </c>
      <c r="E114" s="29" t="s">
        <v>125</v>
      </c>
      <c r="F114" s="29" t="s">
        <v>125</v>
      </c>
      <c r="G114" s="29" t="s">
        <v>125</v>
      </c>
      <c r="H114" s="29"/>
      <c r="I114" s="29"/>
      <c r="J114" s="29"/>
      <c r="K114" s="29"/>
      <c r="L114" s="30"/>
      <c r="M114" s="30" t="s">
        <v>125</v>
      </c>
      <c r="N114" s="29" t="s">
        <v>133</v>
      </c>
      <c r="O114" s="30" t="s">
        <v>134</v>
      </c>
      <c r="P114" s="30" t="s">
        <v>136</v>
      </c>
      <c r="Q114" s="151" t="s">
        <v>136</v>
      </c>
      <c r="R114" s="29"/>
      <c r="S114" s="29"/>
      <c r="T114" s="29"/>
      <c r="U114" s="29" t="s">
        <v>130</v>
      </c>
      <c r="V114" s="30" t="s">
        <v>19</v>
      </c>
      <c r="W114" s="30" t="s">
        <v>19</v>
      </c>
      <c r="X114" s="29" t="s">
        <v>11</v>
      </c>
      <c r="Y114" s="84" t="s">
        <v>16</v>
      </c>
      <c r="Z114" s="85" t="s">
        <v>16</v>
      </c>
      <c r="AA114" s="86" t="s">
        <v>20</v>
      </c>
    </row>
    <row r="115" spans="1:27" x14ac:dyDescent="0.2">
      <c r="A115" s="61"/>
      <c r="B115" s="62"/>
      <c r="C115" s="87" t="s">
        <v>22</v>
      </c>
      <c r="D115" s="87" t="s">
        <v>22</v>
      </c>
      <c r="E115" s="33" t="s">
        <v>126</v>
      </c>
      <c r="F115" s="33" t="s">
        <v>17</v>
      </c>
      <c r="G115" s="33" t="s">
        <v>128</v>
      </c>
      <c r="H115" s="33"/>
      <c r="I115" s="33"/>
      <c r="J115" s="33"/>
      <c r="K115" s="33"/>
      <c r="L115" s="33"/>
      <c r="M115" s="33" t="s">
        <v>131</v>
      </c>
      <c r="N115" s="33"/>
      <c r="O115" s="33" t="s">
        <v>124</v>
      </c>
      <c r="P115" s="33" t="s">
        <v>137</v>
      </c>
      <c r="Q115" s="152" t="s">
        <v>124</v>
      </c>
      <c r="R115" s="33"/>
      <c r="S115" s="33"/>
      <c r="T115" s="33"/>
      <c r="U115" s="33"/>
      <c r="V115" s="33"/>
      <c r="W115" s="33"/>
      <c r="X115" s="33" t="s">
        <v>24</v>
      </c>
      <c r="Y115" s="87" t="s">
        <v>25</v>
      </c>
      <c r="Z115" s="88" t="s">
        <v>22</v>
      </c>
      <c r="AA115" s="89" t="s">
        <v>22</v>
      </c>
    </row>
    <row r="116" spans="1:27" x14ac:dyDescent="0.2">
      <c r="A116" s="66"/>
      <c r="B116" s="67"/>
      <c r="C116" s="90" t="s">
        <v>27</v>
      </c>
      <c r="D116" s="90" t="s">
        <v>28</v>
      </c>
      <c r="E116" s="36" t="s">
        <v>23</v>
      </c>
      <c r="F116" s="36" t="s">
        <v>127</v>
      </c>
      <c r="G116" s="36" t="s">
        <v>129</v>
      </c>
      <c r="H116" s="36"/>
      <c r="I116" s="36"/>
      <c r="J116" s="37"/>
      <c r="K116" s="37"/>
      <c r="L116" s="37"/>
      <c r="M116" s="37" t="s">
        <v>132</v>
      </c>
      <c r="N116" s="37"/>
      <c r="O116" s="38" t="s">
        <v>135</v>
      </c>
      <c r="P116" s="37"/>
      <c r="Q116" s="153" t="s">
        <v>135</v>
      </c>
      <c r="R116" s="36"/>
      <c r="S116" s="36"/>
      <c r="T116" s="36"/>
      <c r="U116" s="36"/>
      <c r="V116" s="37"/>
      <c r="W116" s="36"/>
      <c r="X116" s="36"/>
      <c r="Y116" s="90" t="s">
        <v>29</v>
      </c>
      <c r="Z116" s="91" t="s">
        <v>30</v>
      </c>
      <c r="AA116" s="92" t="s">
        <v>30</v>
      </c>
    </row>
    <row r="117" spans="1:27" ht="33" customHeight="1" x14ac:dyDescent="0.2">
      <c r="A117" s="166" t="s">
        <v>72</v>
      </c>
      <c r="B117" s="167"/>
      <c r="C117" s="72">
        <v>16835</v>
      </c>
      <c r="D117" s="72">
        <v>16670</v>
      </c>
      <c r="E117" s="72"/>
      <c r="F117" s="72">
        <v>1000</v>
      </c>
      <c r="G117" s="72">
        <v>2000</v>
      </c>
      <c r="H117" s="72"/>
      <c r="I117" s="72"/>
      <c r="J117" s="72"/>
      <c r="K117" s="72"/>
      <c r="L117" s="72"/>
      <c r="M117" s="72"/>
      <c r="N117" s="72">
        <v>1000</v>
      </c>
      <c r="O117" s="72">
        <v>1000</v>
      </c>
      <c r="P117" s="72">
        <v>1000</v>
      </c>
      <c r="Q117" s="72">
        <v>1500</v>
      </c>
      <c r="R117" s="72">
        <v>1500</v>
      </c>
      <c r="S117" s="72">
        <v>1500</v>
      </c>
      <c r="T117" s="72"/>
      <c r="U117" s="72"/>
      <c r="V117" s="72"/>
      <c r="W117" s="43">
        <v>5000</v>
      </c>
      <c r="X117" s="43"/>
      <c r="Y117" s="73">
        <f>SUM(E117:X117)</f>
        <v>15500</v>
      </c>
      <c r="Z117" s="74">
        <f>D117-C117</f>
        <v>-165</v>
      </c>
      <c r="AA117" s="75">
        <f>Z117/C117</f>
        <v>-9.8010098010098013E-3</v>
      </c>
    </row>
    <row r="118" spans="1:27" ht="24.75" customHeight="1" x14ac:dyDescent="0.2">
      <c r="A118" s="166" t="s">
        <v>73</v>
      </c>
      <c r="B118" s="167"/>
      <c r="C118" s="43">
        <v>14169</v>
      </c>
      <c r="D118" s="43">
        <v>15317</v>
      </c>
      <c r="E118" s="43"/>
      <c r="F118" s="43"/>
      <c r="G118" s="43">
        <v>3350</v>
      </c>
      <c r="H118" s="43"/>
      <c r="I118" s="43"/>
      <c r="J118" s="43"/>
      <c r="K118" s="43"/>
      <c r="L118" s="43"/>
      <c r="M118" s="43"/>
      <c r="N118" s="43">
        <v>1000</v>
      </c>
      <c r="O118" s="43">
        <v>1000</v>
      </c>
      <c r="P118" s="43">
        <v>927</v>
      </c>
      <c r="Q118" s="43">
        <v>1250</v>
      </c>
      <c r="R118" s="43">
        <v>1500</v>
      </c>
      <c r="S118" s="43">
        <v>2236</v>
      </c>
      <c r="T118" s="43"/>
      <c r="U118" s="43"/>
      <c r="V118" s="43"/>
      <c r="W118" s="43">
        <v>2500</v>
      </c>
      <c r="X118" s="43"/>
      <c r="Y118" s="44">
        <f>SUM(E118:X118)</f>
        <v>13763</v>
      </c>
      <c r="Z118" s="78">
        <f>D118-C118</f>
        <v>1148</v>
      </c>
      <c r="AA118" s="75">
        <f>Z118/C118</f>
        <v>8.1021949325993367E-2</v>
      </c>
    </row>
    <row r="119" spans="1:27" ht="26.25" customHeight="1" thickBot="1" x14ac:dyDescent="0.25">
      <c r="A119" s="168" t="s">
        <v>74</v>
      </c>
      <c r="B119" s="169"/>
      <c r="C119" s="81">
        <f t="shared" ref="C119:Z119" si="15">SUM(C117:C118)</f>
        <v>31004</v>
      </c>
      <c r="D119" s="81">
        <f t="shared" si="15"/>
        <v>31987</v>
      </c>
      <c r="E119" s="81">
        <f t="shared" si="15"/>
        <v>0</v>
      </c>
      <c r="F119" s="81">
        <f t="shared" si="15"/>
        <v>1000</v>
      </c>
      <c r="G119" s="81">
        <f t="shared" si="15"/>
        <v>5350</v>
      </c>
      <c r="H119" s="81">
        <f>SUM(H117:H118)</f>
        <v>0</v>
      </c>
      <c r="I119" s="81">
        <f t="shared" si="15"/>
        <v>0</v>
      </c>
      <c r="J119" s="81">
        <f t="shared" si="15"/>
        <v>0</v>
      </c>
      <c r="K119" s="81">
        <f>SUM(K117:K118)</f>
        <v>0</v>
      </c>
      <c r="L119" s="81">
        <f t="shared" si="15"/>
        <v>0</v>
      </c>
      <c r="M119" s="81">
        <f t="shared" si="15"/>
        <v>0</v>
      </c>
      <c r="N119" s="81">
        <f t="shared" si="15"/>
        <v>2000</v>
      </c>
      <c r="O119" s="81">
        <f t="shared" si="15"/>
        <v>2000</v>
      </c>
      <c r="P119" s="81">
        <f t="shared" si="15"/>
        <v>1927</v>
      </c>
      <c r="Q119" s="81">
        <f t="shared" si="15"/>
        <v>2750</v>
      </c>
      <c r="R119" s="81">
        <f t="shared" si="15"/>
        <v>3000</v>
      </c>
      <c r="S119" s="81">
        <f t="shared" si="15"/>
        <v>3736</v>
      </c>
      <c r="T119" s="81">
        <f t="shared" si="15"/>
        <v>0</v>
      </c>
      <c r="U119" s="81">
        <f t="shared" si="15"/>
        <v>0</v>
      </c>
      <c r="V119" s="81">
        <f t="shared" si="15"/>
        <v>0</v>
      </c>
      <c r="W119" s="81">
        <f t="shared" si="15"/>
        <v>7500</v>
      </c>
      <c r="X119" s="81">
        <f t="shared" si="15"/>
        <v>0</v>
      </c>
      <c r="Y119" s="81">
        <f t="shared" si="15"/>
        <v>29263</v>
      </c>
      <c r="Z119" s="82">
        <f t="shared" si="15"/>
        <v>983</v>
      </c>
      <c r="AA119" s="83">
        <f>Z119/C119</f>
        <v>3.1705586375951493E-2</v>
      </c>
    </row>
    <row r="120" spans="1:27" s="8" customFormat="1" ht="15.75" x14ac:dyDescent="0.25">
      <c r="A120" s="8" t="s">
        <v>75</v>
      </c>
    </row>
    <row r="122" spans="1:27" ht="15.75" customHeight="1" x14ac:dyDescent="0.25">
      <c r="A122" s="23"/>
      <c r="B122" s="23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27" ht="15" thickBot="1" x14ac:dyDescent="0.25">
      <c r="A123" s="109" t="s">
        <v>76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8"/>
      <c r="U123" s="28"/>
      <c r="V123" s="27"/>
      <c r="W123" s="27"/>
      <c r="X123" s="27"/>
    </row>
    <row r="124" spans="1:27" ht="25.5" x14ac:dyDescent="0.2">
      <c r="A124" s="56"/>
      <c r="B124" s="57"/>
      <c r="C124" s="84" t="s">
        <v>16</v>
      </c>
      <c r="D124" s="84" t="s">
        <v>16</v>
      </c>
      <c r="E124" s="29" t="s">
        <v>125</v>
      </c>
      <c r="F124" s="29" t="s">
        <v>125</v>
      </c>
      <c r="G124" s="29" t="s">
        <v>125</v>
      </c>
      <c r="H124" s="29"/>
      <c r="I124" s="29"/>
      <c r="J124" s="29"/>
      <c r="K124" s="29"/>
      <c r="L124" s="30"/>
      <c r="M124" s="30" t="s">
        <v>125</v>
      </c>
      <c r="N124" s="29" t="s">
        <v>133</v>
      </c>
      <c r="O124" s="30" t="s">
        <v>134</v>
      </c>
      <c r="P124" s="30" t="s">
        <v>136</v>
      </c>
      <c r="Q124" s="151" t="s">
        <v>136</v>
      </c>
      <c r="R124" s="29"/>
      <c r="S124" s="29"/>
      <c r="T124" s="29"/>
      <c r="U124" s="29" t="s">
        <v>130</v>
      </c>
      <c r="V124" s="30" t="s">
        <v>19</v>
      </c>
      <c r="W124" s="30" t="s">
        <v>19</v>
      </c>
      <c r="X124" s="29" t="s">
        <v>11</v>
      </c>
      <c r="Y124" s="84" t="s">
        <v>16</v>
      </c>
      <c r="Z124" s="85" t="s">
        <v>16</v>
      </c>
      <c r="AA124" s="86" t="s">
        <v>20</v>
      </c>
    </row>
    <row r="125" spans="1:27" x14ac:dyDescent="0.2">
      <c r="A125" s="99"/>
      <c r="C125" s="87" t="s">
        <v>22</v>
      </c>
      <c r="D125" s="87" t="s">
        <v>22</v>
      </c>
      <c r="E125" s="33" t="s">
        <v>126</v>
      </c>
      <c r="F125" s="33" t="s">
        <v>17</v>
      </c>
      <c r="G125" s="33" t="s">
        <v>128</v>
      </c>
      <c r="H125" s="33"/>
      <c r="I125" s="33"/>
      <c r="J125" s="33"/>
      <c r="K125" s="33"/>
      <c r="L125" s="33"/>
      <c r="M125" s="33" t="s">
        <v>131</v>
      </c>
      <c r="N125" s="33"/>
      <c r="O125" s="33" t="s">
        <v>124</v>
      </c>
      <c r="P125" s="33" t="s">
        <v>137</v>
      </c>
      <c r="Q125" s="152" t="s">
        <v>124</v>
      </c>
      <c r="R125" s="33"/>
      <c r="S125" s="33"/>
      <c r="T125" s="33"/>
      <c r="U125" s="33"/>
      <c r="V125" s="33"/>
      <c r="W125" s="33"/>
      <c r="X125" s="33" t="s">
        <v>24</v>
      </c>
      <c r="Y125" s="87" t="s">
        <v>25</v>
      </c>
      <c r="Z125" s="88" t="s">
        <v>22</v>
      </c>
      <c r="AA125" s="89" t="s">
        <v>22</v>
      </c>
    </row>
    <row r="126" spans="1:27" x14ac:dyDescent="0.2">
      <c r="A126" s="100"/>
      <c r="B126" s="101"/>
      <c r="C126" s="90" t="s">
        <v>27</v>
      </c>
      <c r="D126" s="90" t="s">
        <v>28</v>
      </c>
      <c r="E126" s="36" t="s">
        <v>23</v>
      </c>
      <c r="F126" s="36" t="s">
        <v>127</v>
      </c>
      <c r="G126" s="36" t="s">
        <v>129</v>
      </c>
      <c r="H126" s="36"/>
      <c r="I126" s="36"/>
      <c r="J126" s="37"/>
      <c r="K126" s="37"/>
      <c r="L126" s="37"/>
      <c r="M126" s="37" t="s">
        <v>132</v>
      </c>
      <c r="N126" s="37"/>
      <c r="O126" s="38" t="s">
        <v>135</v>
      </c>
      <c r="P126" s="37"/>
      <c r="Q126" s="153" t="s">
        <v>135</v>
      </c>
      <c r="R126" s="36"/>
      <c r="S126" s="36"/>
      <c r="T126" s="36"/>
      <c r="U126" s="36"/>
      <c r="V126" s="37"/>
      <c r="W126" s="36"/>
      <c r="X126" s="36"/>
      <c r="Y126" s="90" t="s">
        <v>29</v>
      </c>
      <c r="Z126" s="91" t="s">
        <v>30</v>
      </c>
      <c r="AA126" s="92" t="s">
        <v>30</v>
      </c>
    </row>
    <row r="127" spans="1:27" ht="24" customHeight="1" x14ac:dyDescent="0.2">
      <c r="A127" s="166" t="s">
        <v>77</v>
      </c>
      <c r="B127" s="167"/>
      <c r="C127" s="72">
        <v>0</v>
      </c>
      <c r="D127" s="72">
        <v>0</v>
      </c>
      <c r="E127" s="72">
        <v>0</v>
      </c>
      <c r="F127" s="72">
        <v>0</v>
      </c>
      <c r="G127" s="72">
        <v>0</v>
      </c>
      <c r="H127" s="72"/>
      <c r="I127" s="72"/>
      <c r="J127" s="72"/>
      <c r="K127" s="72"/>
      <c r="L127" s="72"/>
      <c r="M127" s="72">
        <v>0</v>
      </c>
      <c r="N127" s="72">
        <v>0</v>
      </c>
      <c r="O127" s="72">
        <v>0</v>
      </c>
      <c r="P127" s="72">
        <v>0</v>
      </c>
      <c r="Q127" s="72">
        <v>0</v>
      </c>
      <c r="R127" s="72">
        <v>0</v>
      </c>
      <c r="S127" s="72">
        <v>0</v>
      </c>
      <c r="T127" s="72">
        <v>0</v>
      </c>
      <c r="U127" s="72">
        <v>0</v>
      </c>
      <c r="V127" s="72">
        <v>0</v>
      </c>
      <c r="W127" s="72">
        <v>0</v>
      </c>
      <c r="X127" s="72">
        <v>0</v>
      </c>
      <c r="Y127" s="73">
        <f>SUM(E127:X127)</f>
        <v>0</v>
      </c>
      <c r="Z127" s="78">
        <f>D127-C127</f>
        <v>0</v>
      </c>
      <c r="AA127" s="46" t="e">
        <f t="shared" ref="AA127:AA131" si="16">Z127/C127</f>
        <v>#DIV/0!</v>
      </c>
    </row>
    <row r="128" spans="1:27" ht="34.5" customHeight="1" x14ac:dyDescent="0.2">
      <c r="A128" s="76" t="s">
        <v>78</v>
      </c>
      <c r="B128" s="102"/>
      <c r="C128" s="43">
        <f>8170+3500+2640</f>
        <v>14310</v>
      </c>
      <c r="D128" s="43">
        <v>11250</v>
      </c>
      <c r="E128" s="43"/>
      <c r="F128" s="43">
        <v>1000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>
        <v>1000</v>
      </c>
      <c r="Q128" s="43"/>
      <c r="R128" s="43">
        <v>1000</v>
      </c>
      <c r="S128" s="43">
        <v>1750</v>
      </c>
      <c r="T128" s="43"/>
      <c r="U128" s="43"/>
      <c r="V128" s="43"/>
      <c r="W128" s="43"/>
      <c r="X128" s="43"/>
      <c r="Y128" s="73">
        <f>SUM(E128:X128)</f>
        <v>4750</v>
      </c>
      <c r="Z128" s="78">
        <f>D128-C128</f>
        <v>-3060</v>
      </c>
      <c r="AA128" s="46">
        <f t="shared" si="16"/>
        <v>-0.21383647798742139</v>
      </c>
    </row>
    <row r="129" spans="1:27" ht="24" customHeight="1" x14ac:dyDescent="0.2">
      <c r="A129" s="166" t="s">
        <v>79</v>
      </c>
      <c r="B129" s="167"/>
      <c r="C129" s="43">
        <v>10482</v>
      </c>
      <c r="D129" s="43">
        <v>10324</v>
      </c>
      <c r="E129" s="43"/>
      <c r="F129" s="43">
        <v>500</v>
      </c>
      <c r="G129" s="43">
        <v>2500</v>
      </c>
      <c r="H129" s="43"/>
      <c r="I129" s="43"/>
      <c r="J129" s="43"/>
      <c r="K129" s="43"/>
      <c r="L129" s="43"/>
      <c r="M129" s="43"/>
      <c r="N129" s="43"/>
      <c r="O129" s="43"/>
      <c r="P129" s="43">
        <v>734</v>
      </c>
      <c r="Q129" s="43"/>
      <c r="R129" s="43">
        <v>1000</v>
      </c>
      <c r="S129" s="43"/>
      <c r="T129" s="43"/>
      <c r="U129" s="43"/>
      <c r="V129" s="43">
        <f>1000+1000</f>
        <v>2000</v>
      </c>
      <c r="W129" s="43">
        <v>0</v>
      </c>
      <c r="X129" s="43"/>
      <c r="Y129" s="73">
        <f>SUM(E129:X129)</f>
        <v>6734</v>
      </c>
      <c r="Z129" s="78">
        <f>D129-C129</f>
        <v>-158</v>
      </c>
      <c r="AA129" s="46">
        <f t="shared" si="16"/>
        <v>-1.5073459263499333E-2</v>
      </c>
    </row>
    <row r="130" spans="1:27" ht="24" customHeight="1" x14ac:dyDescent="0.2">
      <c r="A130" s="166" t="s">
        <v>80</v>
      </c>
      <c r="B130" s="167"/>
      <c r="C130" s="43">
        <v>0</v>
      </c>
      <c r="D130" s="43">
        <v>0</v>
      </c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73">
        <f>SUM(E130:X130)</f>
        <v>0</v>
      </c>
      <c r="Z130" s="78">
        <f>D130-C130</f>
        <v>0</v>
      </c>
      <c r="AA130" s="46" t="e">
        <f t="shared" si="16"/>
        <v>#DIV/0!</v>
      </c>
    </row>
    <row r="131" spans="1:27" ht="24" customHeight="1" thickBot="1" x14ac:dyDescent="0.25">
      <c r="A131" s="95" t="s">
        <v>81</v>
      </c>
      <c r="B131" s="103"/>
      <c r="C131" s="81">
        <f>SUM(C127:C130)</f>
        <v>24792</v>
      </c>
      <c r="D131" s="81">
        <f t="shared" ref="D131:Z131" si="17">SUM(D127:D130)</f>
        <v>21574</v>
      </c>
      <c r="E131" s="81">
        <f t="shared" si="17"/>
        <v>0</v>
      </c>
      <c r="F131" s="81">
        <f t="shared" si="17"/>
        <v>1500</v>
      </c>
      <c r="G131" s="81">
        <f t="shared" si="17"/>
        <v>2500</v>
      </c>
      <c r="H131" s="81">
        <f t="shared" si="17"/>
        <v>0</v>
      </c>
      <c r="I131" s="81">
        <f t="shared" si="17"/>
        <v>0</v>
      </c>
      <c r="J131" s="81">
        <f t="shared" si="17"/>
        <v>0</v>
      </c>
      <c r="K131" s="81">
        <f>SUM(K127:K130)</f>
        <v>0</v>
      </c>
      <c r="L131" s="81">
        <f>SUM(L127:L130)</f>
        <v>0</v>
      </c>
      <c r="M131" s="81">
        <f>SUM(M127:M130)</f>
        <v>0</v>
      </c>
      <c r="N131" s="81">
        <f t="shared" si="17"/>
        <v>0</v>
      </c>
      <c r="O131" s="81">
        <f t="shared" si="17"/>
        <v>0</v>
      </c>
      <c r="P131" s="81">
        <f t="shared" si="17"/>
        <v>1734</v>
      </c>
      <c r="Q131" s="81">
        <f t="shared" si="17"/>
        <v>0</v>
      </c>
      <c r="R131" s="81">
        <f t="shared" si="17"/>
        <v>2000</v>
      </c>
      <c r="S131" s="81">
        <f t="shared" si="17"/>
        <v>1750</v>
      </c>
      <c r="T131" s="81">
        <f t="shared" si="17"/>
        <v>0</v>
      </c>
      <c r="U131" s="81">
        <f t="shared" si="17"/>
        <v>0</v>
      </c>
      <c r="V131" s="81">
        <f t="shared" si="17"/>
        <v>2000</v>
      </c>
      <c r="W131" s="81">
        <f t="shared" si="17"/>
        <v>0</v>
      </c>
      <c r="X131" s="81">
        <f t="shared" si="17"/>
        <v>0</v>
      </c>
      <c r="Y131" s="81">
        <f t="shared" si="17"/>
        <v>11484</v>
      </c>
      <c r="Z131" s="82">
        <f t="shared" si="17"/>
        <v>-3218</v>
      </c>
      <c r="AA131" s="97">
        <f t="shared" si="16"/>
        <v>-0.1297999354630526</v>
      </c>
    </row>
    <row r="132" spans="1:27" x14ac:dyDescent="0.2">
      <c r="A132" s="62"/>
      <c r="B132" s="62"/>
    </row>
    <row r="133" spans="1:27" x14ac:dyDescent="0.2">
      <c r="A133" s="62"/>
      <c r="B133" s="62"/>
    </row>
    <row r="134" spans="1:27" ht="15" thickBot="1" x14ac:dyDescent="0.25">
      <c r="A134" s="104" t="s">
        <v>82</v>
      </c>
      <c r="B134" s="104"/>
    </row>
    <row r="135" spans="1:27" ht="27" customHeight="1" x14ac:dyDescent="0.2">
      <c r="A135" s="56"/>
      <c r="B135" s="57"/>
      <c r="C135" s="84" t="s">
        <v>16</v>
      </c>
      <c r="D135" s="84" t="s">
        <v>16</v>
      </c>
      <c r="E135" s="29" t="s">
        <v>125</v>
      </c>
      <c r="F135" s="29" t="s">
        <v>125</v>
      </c>
      <c r="G135" s="29" t="s">
        <v>125</v>
      </c>
      <c r="H135" s="29"/>
      <c r="I135" s="29"/>
      <c r="J135" s="29"/>
      <c r="K135" s="29"/>
      <c r="L135" s="30"/>
      <c r="M135" s="30" t="s">
        <v>125</v>
      </c>
      <c r="N135" s="29" t="s">
        <v>133</v>
      </c>
      <c r="O135" s="30" t="s">
        <v>134</v>
      </c>
      <c r="P135" s="30" t="s">
        <v>136</v>
      </c>
      <c r="Q135" s="151" t="s">
        <v>136</v>
      </c>
      <c r="R135" s="29"/>
      <c r="S135" s="29"/>
      <c r="T135" s="29"/>
      <c r="U135" s="29" t="s">
        <v>130</v>
      </c>
      <c r="V135" s="30" t="s">
        <v>19</v>
      </c>
      <c r="W135" s="30" t="s">
        <v>19</v>
      </c>
      <c r="X135" s="29" t="s">
        <v>11</v>
      </c>
      <c r="Y135" s="84" t="s">
        <v>16</v>
      </c>
      <c r="Z135" s="110" t="s">
        <v>16</v>
      </c>
      <c r="AA135" s="86" t="s">
        <v>20</v>
      </c>
    </row>
    <row r="136" spans="1:27" x14ac:dyDescent="0.2">
      <c r="A136" s="61"/>
      <c r="B136" s="62"/>
      <c r="C136" s="87" t="s">
        <v>22</v>
      </c>
      <c r="D136" s="87" t="s">
        <v>22</v>
      </c>
      <c r="E136" s="33" t="s">
        <v>126</v>
      </c>
      <c r="F136" s="33" t="s">
        <v>17</v>
      </c>
      <c r="G136" s="33" t="s">
        <v>128</v>
      </c>
      <c r="H136" s="33"/>
      <c r="I136" s="33"/>
      <c r="J136" s="33"/>
      <c r="K136" s="33"/>
      <c r="L136" s="33"/>
      <c r="M136" s="33" t="s">
        <v>131</v>
      </c>
      <c r="N136" s="33"/>
      <c r="O136" s="33" t="s">
        <v>124</v>
      </c>
      <c r="P136" s="33" t="s">
        <v>137</v>
      </c>
      <c r="Q136" s="152" t="s">
        <v>124</v>
      </c>
      <c r="R136" s="33"/>
      <c r="S136" s="33"/>
      <c r="T136" s="33"/>
      <c r="U136" s="33"/>
      <c r="V136" s="33"/>
      <c r="W136" s="33"/>
      <c r="X136" s="33" t="s">
        <v>24</v>
      </c>
      <c r="Y136" s="87" t="s">
        <v>25</v>
      </c>
      <c r="Z136" s="111" t="s">
        <v>22</v>
      </c>
      <c r="AA136" s="89" t="s">
        <v>22</v>
      </c>
    </row>
    <row r="137" spans="1:27" x14ac:dyDescent="0.2">
      <c r="A137" s="66"/>
      <c r="B137" s="67"/>
      <c r="C137" s="90" t="s">
        <v>27</v>
      </c>
      <c r="D137" s="90" t="s">
        <v>28</v>
      </c>
      <c r="E137" s="36" t="s">
        <v>23</v>
      </c>
      <c r="F137" s="36" t="s">
        <v>127</v>
      </c>
      <c r="G137" s="36" t="s">
        <v>129</v>
      </c>
      <c r="H137" s="36"/>
      <c r="I137" s="36"/>
      <c r="J137" s="37"/>
      <c r="K137" s="37"/>
      <c r="L137" s="37"/>
      <c r="M137" s="37" t="s">
        <v>132</v>
      </c>
      <c r="N137" s="37"/>
      <c r="O137" s="38" t="s">
        <v>135</v>
      </c>
      <c r="P137" s="37"/>
      <c r="Q137" s="153" t="s">
        <v>135</v>
      </c>
      <c r="R137" s="36"/>
      <c r="S137" s="36"/>
      <c r="T137" s="36"/>
      <c r="U137" s="36"/>
      <c r="V137" s="37"/>
      <c r="W137" s="36"/>
      <c r="X137" s="36"/>
      <c r="Y137" s="90" t="s">
        <v>29</v>
      </c>
      <c r="Z137" s="112" t="s">
        <v>30</v>
      </c>
      <c r="AA137" s="92" t="s">
        <v>30</v>
      </c>
    </row>
    <row r="138" spans="1:27" ht="24" customHeight="1" x14ac:dyDescent="0.2">
      <c r="A138" s="164" t="s">
        <v>83</v>
      </c>
      <c r="B138" s="165"/>
      <c r="C138" s="72">
        <f>18725+6250</f>
        <v>24975</v>
      </c>
      <c r="D138" s="72">
        <v>20250</v>
      </c>
      <c r="E138" s="72"/>
      <c r="F138" s="72">
        <v>1300</v>
      </c>
      <c r="G138" s="72">
        <v>1200</v>
      </c>
      <c r="H138" s="72"/>
      <c r="I138" s="72"/>
      <c r="J138" s="72"/>
      <c r="K138" s="72"/>
      <c r="L138" s="72"/>
      <c r="M138" s="72"/>
      <c r="N138" s="72"/>
      <c r="O138" s="72"/>
      <c r="P138" s="72">
        <v>1000</v>
      </c>
      <c r="Q138" s="72">
        <v>1500</v>
      </c>
      <c r="R138" s="72">
        <v>1000</v>
      </c>
      <c r="S138" s="72">
        <v>4000</v>
      </c>
      <c r="T138" s="72"/>
      <c r="U138" s="72"/>
      <c r="V138" s="72"/>
      <c r="W138" s="72"/>
      <c r="X138" s="43">
        <v>1000</v>
      </c>
      <c r="Y138" s="73">
        <f>SUM(F138:X138)</f>
        <v>11000</v>
      </c>
      <c r="Z138" s="113">
        <f>D138-C138</f>
        <v>-4725</v>
      </c>
      <c r="AA138" s="75">
        <f>Z138/C138</f>
        <v>-0.1891891891891892</v>
      </c>
    </row>
    <row r="139" spans="1:27" ht="24" customHeight="1" x14ac:dyDescent="0.2">
      <c r="A139" s="164" t="s">
        <v>84</v>
      </c>
      <c r="B139" s="165"/>
      <c r="C139" s="43">
        <v>11748</v>
      </c>
      <c r="D139" s="43">
        <v>13627</v>
      </c>
      <c r="E139" s="43"/>
      <c r="F139" s="43"/>
      <c r="G139" s="43">
        <v>1500</v>
      </c>
      <c r="H139" s="43"/>
      <c r="I139" s="43"/>
      <c r="J139" s="43"/>
      <c r="K139" s="43"/>
      <c r="L139" s="43"/>
      <c r="M139" s="43">
        <v>6567</v>
      </c>
      <c r="N139" s="43"/>
      <c r="O139" s="43">
        <v>0</v>
      </c>
      <c r="P139" s="43"/>
      <c r="Q139" s="43">
        <v>1000</v>
      </c>
      <c r="R139" s="43">
        <v>1250</v>
      </c>
      <c r="S139" s="43">
        <v>1000</v>
      </c>
      <c r="T139" s="43"/>
      <c r="U139" s="43"/>
      <c r="V139" s="43">
        <f>1127+4750</f>
        <v>5877</v>
      </c>
      <c r="W139" s="43">
        <v>0</v>
      </c>
      <c r="X139" s="43"/>
      <c r="Y139" s="44">
        <f>SUM(F139:X139)</f>
        <v>17194</v>
      </c>
      <c r="Z139" s="113">
        <f t="shared" ref="Z139:Z142" si="18">D139-C139</f>
        <v>1879</v>
      </c>
      <c r="AA139" s="75">
        <f t="shared" ref="AA139:AA157" si="19">Z139/C139</f>
        <v>0.15994211780728634</v>
      </c>
    </row>
    <row r="140" spans="1:27" ht="24" customHeight="1" x14ac:dyDescent="0.2">
      <c r="A140" s="114" t="s">
        <v>85</v>
      </c>
      <c r="B140" s="115"/>
      <c r="C140" s="43">
        <v>2500</v>
      </c>
      <c r="D140" s="43">
        <v>2500</v>
      </c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4">
        <f>SUM(F140:X140)</f>
        <v>0</v>
      </c>
      <c r="Z140" s="113">
        <f t="shared" si="18"/>
        <v>0</v>
      </c>
      <c r="AA140" s="75">
        <f t="shared" si="19"/>
        <v>0</v>
      </c>
    </row>
    <row r="141" spans="1:27" ht="24" customHeight="1" x14ac:dyDescent="0.2">
      <c r="A141" s="114" t="s">
        <v>86</v>
      </c>
      <c r="B141" s="115"/>
      <c r="C141" s="43">
        <f>5580+24900</f>
        <v>30480</v>
      </c>
      <c r="D141" s="43">
        <v>36158</v>
      </c>
      <c r="E141" s="43"/>
      <c r="F141" s="43">
        <v>1554</v>
      </c>
      <c r="G141" s="43">
        <v>1200</v>
      </c>
      <c r="H141" s="43"/>
      <c r="I141" s="43"/>
      <c r="J141" s="43"/>
      <c r="K141" s="43"/>
      <c r="L141" s="43"/>
      <c r="M141" s="43"/>
      <c r="N141" s="43"/>
      <c r="O141" s="43">
        <v>3534</v>
      </c>
      <c r="P141" s="43"/>
      <c r="Q141" s="43">
        <v>1494</v>
      </c>
      <c r="R141" s="43">
        <v>3500</v>
      </c>
      <c r="S141" s="43">
        <v>2287</v>
      </c>
      <c r="T141" s="43"/>
      <c r="U141" s="43"/>
      <c r="V141" s="43">
        <f>2945+2885</f>
        <v>5830</v>
      </c>
      <c r="W141" s="43">
        <v>10000</v>
      </c>
      <c r="X141" s="43"/>
      <c r="Y141" s="44">
        <f t="shared" ref="Y141:Y157" si="20">SUM(F141:X141)</f>
        <v>29399</v>
      </c>
      <c r="Z141" s="113">
        <f t="shared" si="18"/>
        <v>5678</v>
      </c>
      <c r="AA141" s="75">
        <f t="shared" si="19"/>
        <v>0.18628608923884515</v>
      </c>
    </row>
    <row r="142" spans="1:27" ht="24" customHeight="1" x14ac:dyDescent="0.2">
      <c r="A142" s="114" t="s">
        <v>87</v>
      </c>
      <c r="B142" s="115"/>
      <c r="C142" s="43">
        <v>2250</v>
      </c>
      <c r="D142" s="43">
        <v>2250</v>
      </c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>
        <v>1000</v>
      </c>
      <c r="S142" s="43"/>
      <c r="T142" s="43"/>
      <c r="U142" s="43"/>
      <c r="V142" s="43"/>
      <c r="W142" s="43"/>
      <c r="X142" s="43"/>
      <c r="Y142" s="44">
        <f t="shared" si="20"/>
        <v>1000</v>
      </c>
      <c r="Z142" s="113">
        <f t="shared" si="18"/>
        <v>0</v>
      </c>
      <c r="AA142" s="75">
        <f t="shared" si="19"/>
        <v>0</v>
      </c>
    </row>
    <row r="143" spans="1:27" ht="24" customHeight="1" x14ac:dyDescent="0.2">
      <c r="A143" s="114" t="s">
        <v>88</v>
      </c>
      <c r="B143" s="115"/>
      <c r="C143" s="43">
        <v>6750</v>
      </c>
      <c r="D143" s="43">
        <v>11000</v>
      </c>
      <c r="E143" s="43"/>
      <c r="F143" s="43"/>
      <c r="G143" s="43">
        <v>1000</v>
      </c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4">
        <f t="shared" si="20"/>
        <v>1000</v>
      </c>
      <c r="Z143" s="45">
        <f>D143-C143</f>
        <v>4250</v>
      </c>
      <c r="AA143" s="75">
        <f t="shared" si="19"/>
        <v>0.62962962962962965</v>
      </c>
    </row>
    <row r="144" spans="1:27" ht="24" customHeight="1" x14ac:dyDescent="0.2">
      <c r="A144" s="114" t="s">
        <v>89</v>
      </c>
      <c r="B144" s="115"/>
      <c r="C144" s="43">
        <v>6000</v>
      </c>
      <c r="D144" s="43">
        <v>6000</v>
      </c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>
        <v>500</v>
      </c>
      <c r="Q144" s="43"/>
      <c r="R144" s="43"/>
      <c r="S144" s="43">
        <v>1000</v>
      </c>
      <c r="T144" s="43"/>
      <c r="U144" s="43"/>
      <c r="V144" s="43"/>
      <c r="W144" s="43"/>
      <c r="X144" s="43"/>
      <c r="Y144" s="44">
        <f t="shared" si="20"/>
        <v>1500</v>
      </c>
      <c r="Z144" s="45">
        <f t="shared" ref="Z144:Z157" si="21">D144-C144</f>
        <v>0</v>
      </c>
      <c r="AA144" s="75">
        <f t="shared" si="19"/>
        <v>0</v>
      </c>
    </row>
    <row r="145" spans="1:27" ht="24" customHeight="1" x14ac:dyDescent="0.2">
      <c r="A145" s="114" t="s">
        <v>90</v>
      </c>
      <c r="B145" s="115"/>
      <c r="C145" s="43">
        <v>3000</v>
      </c>
      <c r="D145" s="43">
        <v>5800</v>
      </c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>
        <v>1000</v>
      </c>
      <c r="S145" s="43"/>
      <c r="T145" s="43"/>
      <c r="U145" s="43"/>
      <c r="V145" s="43">
        <f>1300+2500</f>
        <v>3800</v>
      </c>
      <c r="W145" s="43">
        <v>0</v>
      </c>
      <c r="X145" s="43"/>
      <c r="Y145" s="44">
        <f t="shared" si="20"/>
        <v>4800</v>
      </c>
      <c r="Z145" s="45">
        <f t="shared" si="21"/>
        <v>2800</v>
      </c>
      <c r="AA145" s="75">
        <f t="shared" si="19"/>
        <v>0.93333333333333335</v>
      </c>
    </row>
    <row r="146" spans="1:27" ht="24" customHeight="1" x14ac:dyDescent="0.2">
      <c r="A146" s="116" t="s">
        <v>91</v>
      </c>
      <c r="B146" s="117"/>
      <c r="C146" s="43">
        <v>6630</v>
      </c>
      <c r="D146" s="43">
        <v>6604</v>
      </c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>
        <v>4000</v>
      </c>
      <c r="Y146" s="44">
        <f t="shared" si="20"/>
        <v>4000</v>
      </c>
      <c r="Z146" s="45">
        <f t="shared" si="21"/>
        <v>-26</v>
      </c>
      <c r="AA146" s="75">
        <f t="shared" si="19"/>
        <v>-3.9215686274509803E-3</v>
      </c>
    </row>
    <row r="147" spans="1:27" ht="24" customHeight="1" x14ac:dyDescent="0.2">
      <c r="A147" s="116" t="s">
        <v>92</v>
      </c>
      <c r="B147" s="117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4">
        <f t="shared" si="20"/>
        <v>0</v>
      </c>
      <c r="Z147" s="45">
        <f t="shared" si="21"/>
        <v>0</v>
      </c>
      <c r="AA147" s="75" t="e">
        <f t="shared" si="19"/>
        <v>#DIV/0!</v>
      </c>
    </row>
    <row r="148" spans="1:27" ht="24" customHeight="1" x14ac:dyDescent="0.2">
      <c r="A148" s="118"/>
      <c r="B148" s="119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>
        <f t="shared" si="20"/>
        <v>0</v>
      </c>
      <c r="Z148" s="45">
        <f t="shared" si="21"/>
        <v>0</v>
      </c>
      <c r="AA148" s="75" t="e">
        <f t="shared" si="19"/>
        <v>#DIV/0!</v>
      </c>
    </row>
    <row r="149" spans="1:27" ht="24" customHeight="1" x14ac:dyDescent="0.2">
      <c r="A149" s="116" t="s">
        <v>93</v>
      </c>
      <c r="B149" s="117"/>
      <c r="C149" s="43">
        <v>2500</v>
      </c>
      <c r="D149" s="43">
        <v>4250</v>
      </c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>
        <v>500</v>
      </c>
      <c r="S149" s="43"/>
      <c r="T149" s="43"/>
      <c r="U149" s="43"/>
      <c r="V149" s="43"/>
      <c r="W149" s="43"/>
      <c r="X149" s="43"/>
      <c r="Y149" s="44">
        <f t="shared" si="20"/>
        <v>500</v>
      </c>
      <c r="Z149" s="45">
        <f t="shared" si="21"/>
        <v>1750</v>
      </c>
      <c r="AA149" s="75">
        <f t="shared" si="19"/>
        <v>0.7</v>
      </c>
    </row>
    <row r="150" spans="1:27" ht="24" customHeight="1" x14ac:dyDescent="0.2">
      <c r="A150" s="116" t="s">
        <v>94</v>
      </c>
      <c r="B150" s="117"/>
      <c r="C150" s="43">
        <v>5765</v>
      </c>
      <c r="D150" s="43">
        <v>5857</v>
      </c>
      <c r="E150" s="43"/>
      <c r="F150" s="43"/>
      <c r="G150" s="43">
        <v>2093</v>
      </c>
      <c r="H150" s="43"/>
      <c r="I150" s="43"/>
      <c r="J150" s="43"/>
      <c r="K150" s="43"/>
      <c r="L150" s="43"/>
      <c r="M150" s="43"/>
      <c r="N150" s="43"/>
      <c r="O150" s="43"/>
      <c r="P150" s="43"/>
      <c r="Q150" s="43">
        <v>499</v>
      </c>
      <c r="R150" s="43">
        <v>1000</v>
      </c>
      <c r="S150" s="43">
        <v>500</v>
      </c>
      <c r="T150" s="43"/>
      <c r="U150" s="43"/>
      <c r="V150" s="43"/>
      <c r="W150" s="43"/>
      <c r="X150" s="43"/>
      <c r="Y150" s="44">
        <f t="shared" si="20"/>
        <v>4092</v>
      </c>
      <c r="Z150" s="45">
        <f t="shared" si="21"/>
        <v>92</v>
      </c>
      <c r="AA150" s="75">
        <f t="shared" si="19"/>
        <v>1.5958369470945359E-2</v>
      </c>
    </row>
    <row r="151" spans="1:27" ht="24" customHeight="1" x14ac:dyDescent="0.2">
      <c r="A151" s="116" t="s">
        <v>95</v>
      </c>
      <c r="B151" s="117"/>
      <c r="C151" s="43">
        <v>13064</v>
      </c>
      <c r="D151" s="43">
        <v>6500</v>
      </c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>
        <v>2000</v>
      </c>
      <c r="W151" s="43">
        <v>42500</v>
      </c>
      <c r="X151" s="43"/>
      <c r="Y151" s="44">
        <f t="shared" si="20"/>
        <v>44500</v>
      </c>
      <c r="Z151" s="45">
        <f t="shared" si="21"/>
        <v>-6564</v>
      </c>
      <c r="AA151" s="75">
        <f t="shared" si="19"/>
        <v>-0.50244947948560936</v>
      </c>
    </row>
    <row r="152" spans="1:27" ht="24" customHeight="1" x14ac:dyDescent="0.2">
      <c r="A152" s="121" t="s">
        <v>96</v>
      </c>
      <c r="B152" s="122"/>
      <c r="C152" s="72">
        <v>45000</v>
      </c>
      <c r="D152" s="72">
        <v>55710</v>
      </c>
      <c r="E152" s="72"/>
      <c r="F152" s="72"/>
      <c r="G152" s="72">
        <v>42750</v>
      </c>
      <c r="H152" s="72"/>
      <c r="I152" s="72"/>
      <c r="J152" s="72"/>
      <c r="K152" s="72"/>
      <c r="L152" s="72"/>
      <c r="M152" s="72"/>
      <c r="N152" s="72"/>
      <c r="O152" s="72">
        <v>12960</v>
      </c>
      <c r="P152" s="72"/>
      <c r="Q152" s="72"/>
      <c r="R152" s="72"/>
      <c r="S152" s="72"/>
      <c r="T152" s="72"/>
      <c r="U152" s="72"/>
      <c r="V152" s="72"/>
      <c r="W152" s="72">
        <v>420956</v>
      </c>
      <c r="X152" s="72"/>
      <c r="Y152" s="44">
        <f t="shared" si="20"/>
        <v>476666</v>
      </c>
      <c r="Z152" s="45">
        <f t="shared" si="21"/>
        <v>10710</v>
      </c>
      <c r="AA152" s="75">
        <f t="shared" si="19"/>
        <v>0.23799999999999999</v>
      </c>
    </row>
    <row r="153" spans="1:27" ht="24" customHeight="1" x14ac:dyDescent="0.2">
      <c r="A153" s="121" t="s">
        <v>97</v>
      </c>
      <c r="B153" s="122"/>
      <c r="C153" s="72">
        <v>1850</v>
      </c>
      <c r="D153" s="72">
        <v>2150</v>
      </c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>
        <v>1000</v>
      </c>
      <c r="S153" s="72">
        <v>150</v>
      </c>
      <c r="T153" s="72"/>
      <c r="U153" s="72"/>
      <c r="V153" s="72">
        <v>500</v>
      </c>
      <c r="W153" s="72">
        <v>0</v>
      </c>
      <c r="X153" s="72"/>
      <c r="Y153" s="44">
        <f t="shared" si="20"/>
        <v>1650</v>
      </c>
      <c r="Z153" s="45">
        <f t="shared" si="21"/>
        <v>300</v>
      </c>
      <c r="AA153" s="75">
        <f t="shared" si="19"/>
        <v>0.16216216216216217</v>
      </c>
    </row>
    <row r="154" spans="1:27" ht="24" customHeight="1" x14ac:dyDescent="0.2">
      <c r="A154" s="123" t="s">
        <v>98</v>
      </c>
      <c r="B154" s="124"/>
      <c r="C154" s="72">
        <v>0</v>
      </c>
      <c r="D154" s="72">
        <v>15000</v>
      </c>
      <c r="E154" s="72"/>
      <c r="F154" s="72">
        <v>1000</v>
      </c>
      <c r="G154" s="72">
        <v>1000</v>
      </c>
      <c r="H154" s="72"/>
      <c r="I154" s="72"/>
      <c r="J154" s="72"/>
      <c r="K154" s="72"/>
      <c r="L154" s="72"/>
      <c r="M154" s="72"/>
      <c r="N154" s="72"/>
      <c r="O154" s="72"/>
      <c r="P154" s="72"/>
      <c r="Q154" s="72">
        <v>1250</v>
      </c>
      <c r="R154" s="72">
        <v>2000</v>
      </c>
      <c r="S154" s="72">
        <v>3750</v>
      </c>
      <c r="T154" s="72"/>
      <c r="U154" s="72"/>
      <c r="V154" s="72"/>
      <c r="W154" s="72"/>
      <c r="X154" s="72"/>
      <c r="Y154" s="44">
        <f t="shared" si="20"/>
        <v>9000</v>
      </c>
      <c r="Z154" s="45">
        <f t="shared" si="21"/>
        <v>15000</v>
      </c>
      <c r="AA154" s="75">
        <v>1</v>
      </c>
    </row>
    <row r="155" spans="1:27" ht="24" customHeight="1" x14ac:dyDescent="0.2">
      <c r="A155" s="121" t="s">
        <v>99</v>
      </c>
      <c r="B155" s="122"/>
      <c r="C155" s="72">
        <v>14108</v>
      </c>
      <c r="D155" s="72">
        <v>14250</v>
      </c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>
        <v>1500</v>
      </c>
      <c r="R155" s="72"/>
      <c r="S155" s="72">
        <v>6000</v>
      </c>
      <c r="T155" s="72"/>
      <c r="U155" s="72"/>
      <c r="V155" s="72"/>
      <c r="W155" s="72"/>
      <c r="X155" s="72"/>
      <c r="Y155" s="73">
        <f t="shared" si="20"/>
        <v>7500</v>
      </c>
      <c r="Z155" s="45">
        <f t="shared" si="21"/>
        <v>142</v>
      </c>
      <c r="AA155" s="75">
        <f t="shared" si="19"/>
        <v>1.0065211227672243E-2</v>
      </c>
    </row>
    <row r="156" spans="1:27" ht="24" customHeight="1" x14ac:dyDescent="0.2">
      <c r="A156" s="121" t="s">
        <v>100</v>
      </c>
      <c r="B156" s="122"/>
      <c r="C156" s="72">
        <v>750</v>
      </c>
      <c r="D156" s="72">
        <v>750</v>
      </c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>
        <v>750</v>
      </c>
      <c r="S156" s="72"/>
      <c r="T156" s="72"/>
      <c r="U156" s="72"/>
      <c r="V156" s="72"/>
      <c r="W156" s="72"/>
      <c r="X156" s="72"/>
      <c r="Y156" s="73">
        <f t="shared" si="20"/>
        <v>750</v>
      </c>
      <c r="Z156" s="45">
        <f t="shared" si="21"/>
        <v>0</v>
      </c>
      <c r="AA156" s="75">
        <f t="shared" si="19"/>
        <v>0</v>
      </c>
    </row>
    <row r="157" spans="1:27" ht="24" customHeight="1" x14ac:dyDescent="0.2">
      <c r="A157" s="164" t="s">
        <v>101</v>
      </c>
      <c r="B157" s="165"/>
      <c r="C157" s="43">
        <v>750</v>
      </c>
      <c r="D157" s="43">
        <v>4000</v>
      </c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>
        <v>4000</v>
      </c>
      <c r="Y157" s="44">
        <f t="shared" si="20"/>
        <v>4000</v>
      </c>
      <c r="Z157" s="45">
        <f t="shared" si="21"/>
        <v>3250</v>
      </c>
      <c r="AA157" s="75">
        <f t="shared" si="19"/>
        <v>4.333333333333333</v>
      </c>
    </row>
    <row r="158" spans="1:27" ht="24" customHeight="1" x14ac:dyDescent="0.2">
      <c r="A158" s="93" t="s">
        <v>102</v>
      </c>
      <c r="B158" s="125"/>
      <c r="C158" s="44">
        <f t="shared" ref="C158:Z158" si="22">SUM(C138:C157)</f>
        <v>178120</v>
      </c>
      <c r="D158" s="44">
        <f t="shared" si="22"/>
        <v>212656</v>
      </c>
      <c r="E158" s="44">
        <f t="shared" si="22"/>
        <v>0</v>
      </c>
      <c r="F158" s="44">
        <f t="shared" si="22"/>
        <v>3854</v>
      </c>
      <c r="G158" s="44">
        <f t="shared" si="22"/>
        <v>50743</v>
      </c>
      <c r="H158" s="44">
        <f t="shared" si="22"/>
        <v>0</v>
      </c>
      <c r="I158" s="44">
        <f t="shared" si="22"/>
        <v>0</v>
      </c>
      <c r="J158" s="44">
        <f t="shared" si="22"/>
        <v>0</v>
      </c>
      <c r="K158" s="44">
        <f>SUM(K138:K157)</f>
        <v>0</v>
      </c>
      <c r="L158" s="44">
        <f t="shared" si="22"/>
        <v>0</v>
      </c>
      <c r="M158" s="44">
        <f t="shared" si="22"/>
        <v>6567</v>
      </c>
      <c r="N158" s="44">
        <f t="shared" si="22"/>
        <v>0</v>
      </c>
      <c r="O158" s="44">
        <f t="shared" si="22"/>
        <v>16494</v>
      </c>
      <c r="P158" s="44">
        <f t="shared" si="22"/>
        <v>1500</v>
      </c>
      <c r="Q158" s="44">
        <f t="shared" si="22"/>
        <v>7243</v>
      </c>
      <c r="R158" s="44">
        <f t="shared" si="22"/>
        <v>13000</v>
      </c>
      <c r="S158" s="44">
        <f t="shared" si="22"/>
        <v>18687</v>
      </c>
      <c r="T158" s="44">
        <f t="shared" si="22"/>
        <v>0</v>
      </c>
      <c r="U158" s="44">
        <f t="shared" si="22"/>
        <v>0</v>
      </c>
      <c r="V158" s="44">
        <f t="shared" si="22"/>
        <v>18007</v>
      </c>
      <c r="W158" s="44">
        <f t="shared" si="22"/>
        <v>473456</v>
      </c>
      <c r="X158" s="44">
        <f t="shared" si="22"/>
        <v>9000</v>
      </c>
      <c r="Y158" s="44">
        <f t="shared" si="22"/>
        <v>618551</v>
      </c>
      <c r="Z158" s="45">
        <f t="shared" si="22"/>
        <v>34536</v>
      </c>
      <c r="AA158" s="75">
        <f>Z158/C158</f>
        <v>0.1938917583651471</v>
      </c>
    </row>
    <row r="159" spans="1:27" ht="24" customHeight="1" thickBot="1" x14ac:dyDescent="0.25">
      <c r="A159" s="95" t="s">
        <v>103</v>
      </c>
      <c r="B159" s="103"/>
      <c r="C159" s="81">
        <f t="shared" ref="C159:Y159" si="23">SUM(C158,C131,C119,C110,C100,C88,C76)</f>
        <v>793109</v>
      </c>
      <c r="D159" s="81">
        <f t="shared" si="23"/>
        <v>850684</v>
      </c>
      <c r="E159" s="81">
        <f t="shared" si="23"/>
        <v>10724</v>
      </c>
      <c r="F159" s="81">
        <f t="shared" si="23"/>
        <v>31357</v>
      </c>
      <c r="G159" s="81">
        <f t="shared" si="23"/>
        <v>71605</v>
      </c>
      <c r="H159" s="81">
        <f t="shared" si="23"/>
        <v>0</v>
      </c>
      <c r="I159" s="81">
        <f t="shared" si="23"/>
        <v>0</v>
      </c>
      <c r="J159" s="81">
        <f>SUM(J158,J131,J119,J110,J100,J88,J76)</f>
        <v>0</v>
      </c>
      <c r="K159" s="81">
        <f>SUM(K158,K131,K119,K110,K100,K88,K76,K63,K51)</f>
        <v>0</v>
      </c>
      <c r="L159" s="81">
        <f t="shared" si="23"/>
        <v>0</v>
      </c>
      <c r="M159" s="81">
        <f t="shared" si="23"/>
        <v>8548</v>
      </c>
      <c r="N159" s="81">
        <f t="shared" si="23"/>
        <v>33511</v>
      </c>
      <c r="O159" s="81">
        <f t="shared" si="23"/>
        <v>27036</v>
      </c>
      <c r="P159" s="81">
        <f t="shared" si="23"/>
        <v>27583</v>
      </c>
      <c r="Q159" s="81">
        <f t="shared" si="23"/>
        <v>44502</v>
      </c>
      <c r="R159" s="81">
        <f t="shared" si="23"/>
        <v>45850</v>
      </c>
      <c r="S159" s="81">
        <f t="shared" si="23"/>
        <v>97154</v>
      </c>
      <c r="T159" s="81">
        <f t="shared" si="23"/>
        <v>0</v>
      </c>
      <c r="U159" s="81">
        <f t="shared" si="23"/>
        <v>3408</v>
      </c>
      <c r="V159" s="81">
        <f t="shared" si="23"/>
        <v>38053</v>
      </c>
      <c r="W159" s="81">
        <f t="shared" si="23"/>
        <v>485956</v>
      </c>
      <c r="X159" s="81">
        <f t="shared" si="23"/>
        <v>15000</v>
      </c>
      <c r="Y159" s="81">
        <f t="shared" si="23"/>
        <v>940287</v>
      </c>
      <c r="Z159" s="126">
        <f>SUM(Z139:Z158)</f>
        <v>73797</v>
      </c>
      <c r="AA159" s="127">
        <f t="shared" ref="AA159" si="24">Z159/C159</f>
        <v>9.3047739970168034E-2</v>
      </c>
    </row>
    <row r="160" spans="1:27" s="128" customFormat="1" ht="30.75" customHeight="1" x14ac:dyDescent="0.25">
      <c r="A160" s="171" t="s">
        <v>104</v>
      </c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</row>
    <row r="162" spans="1:27" ht="15.75" x14ac:dyDescent="0.25">
      <c r="A162" s="23"/>
      <c r="B162" s="23"/>
      <c r="C162" s="23"/>
      <c r="D162" s="23"/>
      <c r="E162" s="23"/>
      <c r="F162" s="23"/>
      <c r="G162" s="25"/>
      <c r="H162" s="25"/>
      <c r="I162" s="25"/>
      <c r="J162" s="25"/>
      <c r="K162" s="25"/>
      <c r="L162" s="25"/>
      <c r="M162" s="25"/>
      <c r="N162" s="25"/>
      <c r="O162" s="25"/>
      <c r="P162" s="23"/>
      <c r="Q162" s="23"/>
      <c r="R162" s="23"/>
      <c r="S162" s="23"/>
    </row>
    <row r="163" spans="1:27" ht="15" thickBot="1" x14ac:dyDescent="0.25">
      <c r="A163" s="104" t="s">
        <v>105</v>
      </c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8"/>
      <c r="R163" s="28"/>
      <c r="S163" s="28"/>
      <c r="T163" s="27"/>
      <c r="U163" s="27"/>
      <c r="V163" s="27"/>
    </row>
    <row r="164" spans="1:27" ht="25.5" x14ac:dyDescent="0.2">
      <c r="A164" s="56"/>
      <c r="B164" s="129"/>
      <c r="C164" s="84" t="s">
        <v>16</v>
      </c>
      <c r="D164" s="84" t="s">
        <v>16</v>
      </c>
      <c r="E164" s="29" t="s">
        <v>125</v>
      </c>
      <c r="F164" s="29" t="s">
        <v>125</v>
      </c>
      <c r="G164" s="29" t="s">
        <v>125</v>
      </c>
      <c r="H164" s="29"/>
      <c r="I164" s="29"/>
      <c r="J164" s="29"/>
      <c r="K164" s="29"/>
      <c r="L164" s="30" t="s">
        <v>125</v>
      </c>
      <c r="M164" s="30" t="s">
        <v>125</v>
      </c>
      <c r="N164" s="29" t="s">
        <v>133</v>
      </c>
      <c r="O164" s="30" t="s">
        <v>134</v>
      </c>
      <c r="P164" s="30" t="s">
        <v>136</v>
      </c>
      <c r="Q164" s="151" t="s">
        <v>136</v>
      </c>
      <c r="R164" s="29"/>
      <c r="S164" s="29"/>
      <c r="T164" s="29"/>
      <c r="U164" s="29" t="s">
        <v>130</v>
      </c>
      <c r="V164" s="30" t="s">
        <v>19</v>
      </c>
      <c r="W164" s="30" t="s">
        <v>19</v>
      </c>
      <c r="X164" s="29" t="s">
        <v>11</v>
      </c>
      <c r="Y164" s="84" t="s">
        <v>16</v>
      </c>
      <c r="Z164" s="85" t="s">
        <v>16</v>
      </c>
      <c r="AA164" s="86" t="s">
        <v>20</v>
      </c>
    </row>
    <row r="165" spans="1:27" x14ac:dyDescent="0.2">
      <c r="A165" s="99"/>
      <c r="B165" s="130"/>
      <c r="C165" s="87" t="s">
        <v>22</v>
      </c>
      <c r="D165" s="87" t="s">
        <v>22</v>
      </c>
      <c r="E165" s="33" t="s">
        <v>126</v>
      </c>
      <c r="F165" s="33" t="s">
        <v>17</v>
      </c>
      <c r="G165" s="33" t="s">
        <v>128</v>
      </c>
      <c r="H165" s="33"/>
      <c r="I165" s="33"/>
      <c r="J165" s="33"/>
      <c r="K165" s="33"/>
      <c r="L165" s="33" t="s">
        <v>18</v>
      </c>
      <c r="M165" s="33" t="s">
        <v>131</v>
      </c>
      <c r="N165" s="33"/>
      <c r="O165" s="33" t="s">
        <v>124</v>
      </c>
      <c r="P165" s="33" t="s">
        <v>137</v>
      </c>
      <c r="Q165" s="152" t="s">
        <v>124</v>
      </c>
      <c r="R165" s="33"/>
      <c r="S165" s="33"/>
      <c r="T165" s="33"/>
      <c r="U165" s="33"/>
      <c r="V165" s="33"/>
      <c r="W165" s="33"/>
      <c r="X165" s="33" t="s">
        <v>24</v>
      </c>
      <c r="Y165" s="87" t="s">
        <v>25</v>
      </c>
      <c r="Z165" s="88" t="s">
        <v>22</v>
      </c>
      <c r="AA165" s="89" t="s">
        <v>22</v>
      </c>
    </row>
    <row r="166" spans="1:27" x14ac:dyDescent="0.2">
      <c r="A166" s="100"/>
      <c r="B166" s="101"/>
      <c r="C166" s="90" t="s">
        <v>27</v>
      </c>
      <c r="D166" s="90" t="s">
        <v>28</v>
      </c>
      <c r="E166" s="36" t="s">
        <v>23</v>
      </c>
      <c r="F166" s="36" t="s">
        <v>127</v>
      </c>
      <c r="G166" s="36" t="s">
        <v>129</v>
      </c>
      <c r="H166" s="36"/>
      <c r="I166" s="36"/>
      <c r="J166" s="37"/>
      <c r="K166" s="37"/>
      <c r="L166" s="37"/>
      <c r="M166" s="37" t="s">
        <v>132</v>
      </c>
      <c r="N166" s="37"/>
      <c r="O166" s="38" t="s">
        <v>135</v>
      </c>
      <c r="P166" s="37"/>
      <c r="Q166" s="153" t="s">
        <v>135</v>
      </c>
      <c r="R166" s="36"/>
      <c r="S166" s="36"/>
      <c r="T166" s="36"/>
      <c r="U166" s="36"/>
      <c r="V166" s="37"/>
      <c r="W166" s="36"/>
      <c r="X166" s="36"/>
      <c r="Y166" s="90" t="s">
        <v>29</v>
      </c>
      <c r="Z166" s="91" t="s">
        <v>30</v>
      </c>
      <c r="AA166" s="92" t="s">
        <v>30</v>
      </c>
    </row>
    <row r="167" spans="1:27" x14ac:dyDescent="0.2">
      <c r="A167" s="100" t="s">
        <v>106</v>
      </c>
      <c r="B167" s="101"/>
      <c r="C167" s="43">
        <v>1123556</v>
      </c>
      <c r="D167" s="43">
        <v>1223186</v>
      </c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4">
        <f>SUM(E167:X167)</f>
        <v>0</v>
      </c>
      <c r="Z167" s="78">
        <f>D167-C167</f>
        <v>99630</v>
      </c>
      <c r="AA167" s="46">
        <f>Z167/C167</f>
        <v>8.867381777143285E-2</v>
      </c>
    </row>
    <row r="168" spans="1:27" x14ac:dyDescent="0.2">
      <c r="A168" s="105" t="s">
        <v>107</v>
      </c>
      <c r="B168" s="106"/>
      <c r="C168" s="43">
        <f>563393+73295</f>
        <v>636688</v>
      </c>
      <c r="D168" s="43">
        <v>385209</v>
      </c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4">
        <f t="shared" ref="Y168:Y173" si="25">SUM(E168:X168)</f>
        <v>0</v>
      </c>
      <c r="Z168" s="78">
        <f t="shared" ref="Z168:Z174" si="26">D168-C168</f>
        <v>-251479</v>
      </c>
      <c r="AA168" s="46">
        <f t="shared" ref="AA168:AA175" si="27">Z168/C168</f>
        <v>-0.39497995878672126</v>
      </c>
    </row>
    <row r="169" spans="1:27" ht="14.25" customHeight="1" x14ac:dyDescent="0.2">
      <c r="A169" s="105" t="s">
        <v>108</v>
      </c>
      <c r="B169" s="106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4">
        <f t="shared" si="25"/>
        <v>0</v>
      </c>
      <c r="Z169" s="78">
        <f t="shared" si="26"/>
        <v>0</v>
      </c>
      <c r="AA169" s="46" t="e">
        <f t="shared" si="27"/>
        <v>#DIV/0!</v>
      </c>
    </row>
    <row r="170" spans="1:27" x14ac:dyDescent="0.2">
      <c r="A170" s="105" t="s">
        <v>109</v>
      </c>
      <c r="B170" s="106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4">
        <f t="shared" si="25"/>
        <v>0</v>
      </c>
      <c r="Z170" s="78">
        <f t="shared" si="26"/>
        <v>0</v>
      </c>
      <c r="AA170" s="46" t="e">
        <f t="shared" si="27"/>
        <v>#DIV/0!</v>
      </c>
    </row>
    <row r="171" spans="1:27" x14ac:dyDescent="0.2">
      <c r="A171" s="105" t="s">
        <v>110</v>
      </c>
      <c r="B171" s="106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4">
        <f t="shared" si="25"/>
        <v>0</v>
      </c>
      <c r="Z171" s="78">
        <f t="shared" si="26"/>
        <v>0</v>
      </c>
      <c r="AA171" s="46" t="e">
        <f t="shared" si="27"/>
        <v>#DIV/0!</v>
      </c>
    </row>
    <row r="172" spans="1:27" x14ac:dyDescent="0.2">
      <c r="A172" s="105" t="s">
        <v>111</v>
      </c>
      <c r="B172" s="106"/>
      <c r="C172" s="43">
        <v>10000</v>
      </c>
      <c r="D172" s="43">
        <v>15000</v>
      </c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4">
        <f t="shared" si="25"/>
        <v>0</v>
      </c>
      <c r="Z172" s="78">
        <f t="shared" si="26"/>
        <v>5000</v>
      </c>
      <c r="AA172" s="46">
        <f t="shared" si="27"/>
        <v>0.5</v>
      </c>
    </row>
    <row r="173" spans="1:27" x14ac:dyDescent="0.2">
      <c r="A173" s="105" t="s">
        <v>112</v>
      </c>
      <c r="B173" s="106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4">
        <f t="shared" si="25"/>
        <v>0</v>
      </c>
      <c r="Z173" s="78">
        <f t="shared" si="26"/>
        <v>0</v>
      </c>
      <c r="AA173" s="46" t="e">
        <f t="shared" si="27"/>
        <v>#DIV/0!</v>
      </c>
    </row>
    <row r="174" spans="1:27" x14ac:dyDescent="0.2">
      <c r="A174" s="105" t="s">
        <v>111</v>
      </c>
      <c r="B174" s="106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4">
        <f>SUM(E174:X174)</f>
        <v>0</v>
      </c>
      <c r="Z174" s="78">
        <f t="shared" si="26"/>
        <v>0</v>
      </c>
      <c r="AA174" s="46" t="e">
        <f t="shared" si="27"/>
        <v>#DIV/0!</v>
      </c>
    </row>
    <row r="175" spans="1:27" ht="13.5" thickBot="1" x14ac:dyDescent="0.25">
      <c r="A175" s="131" t="s">
        <v>113</v>
      </c>
      <c r="B175" s="132"/>
      <c r="C175" s="133">
        <f>SUM(C167:C174)</f>
        <v>1770244</v>
      </c>
      <c r="D175" s="133">
        <f t="shared" ref="D175:P175" si="28">SUM(D167:D174)</f>
        <v>1623395</v>
      </c>
      <c r="E175" s="133">
        <f t="shared" si="28"/>
        <v>0</v>
      </c>
      <c r="F175" s="133">
        <f t="shared" si="28"/>
        <v>0</v>
      </c>
      <c r="G175" s="133">
        <f t="shared" si="28"/>
        <v>0</v>
      </c>
      <c r="H175" s="133">
        <f t="shared" si="28"/>
        <v>0</v>
      </c>
      <c r="I175" s="133">
        <f t="shared" si="28"/>
        <v>0</v>
      </c>
      <c r="J175" s="133">
        <f t="shared" si="28"/>
        <v>0</v>
      </c>
      <c r="K175" s="133">
        <f>SUM(K167:K174)</f>
        <v>0</v>
      </c>
      <c r="L175" s="133">
        <f t="shared" si="28"/>
        <v>0</v>
      </c>
      <c r="M175" s="133">
        <f t="shared" si="28"/>
        <v>0</v>
      </c>
      <c r="N175" s="133">
        <f t="shared" si="28"/>
        <v>0</v>
      </c>
      <c r="O175" s="133">
        <f t="shared" si="28"/>
        <v>0</v>
      </c>
      <c r="P175" s="133">
        <f t="shared" si="28"/>
        <v>0</v>
      </c>
      <c r="Q175" s="133">
        <f>SUM(Q167:Q174)</f>
        <v>0</v>
      </c>
      <c r="R175" s="133">
        <f t="shared" ref="R175:X175" si="29">SUM(R167:R174)</f>
        <v>0</v>
      </c>
      <c r="S175" s="133">
        <f t="shared" si="29"/>
        <v>0</v>
      </c>
      <c r="T175" s="133">
        <f t="shared" si="29"/>
        <v>0</v>
      </c>
      <c r="U175" s="133">
        <f t="shared" si="29"/>
        <v>0</v>
      </c>
      <c r="V175" s="133">
        <f t="shared" si="29"/>
        <v>0</v>
      </c>
      <c r="W175" s="133">
        <f t="shared" si="29"/>
        <v>0</v>
      </c>
      <c r="X175" s="133">
        <f t="shared" si="29"/>
        <v>0</v>
      </c>
      <c r="Y175" s="133">
        <f>SUM(Y167:Y174)</f>
        <v>0</v>
      </c>
      <c r="Z175" s="134">
        <f>SUM(Z167:Z174)</f>
        <v>-146849</v>
      </c>
      <c r="AA175" s="97">
        <f t="shared" si="27"/>
        <v>-8.2954101242540573E-2</v>
      </c>
    </row>
    <row r="176" spans="1:27" customFormat="1" x14ac:dyDescent="0.2"/>
    <row r="177" spans="1:26" customFormat="1" ht="13.5" thickBot="1" x14ac:dyDescent="0.25"/>
    <row r="178" spans="1:26" ht="24" customHeight="1" x14ac:dyDescent="0.2">
      <c r="A178" s="135" t="s">
        <v>113</v>
      </c>
      <c r="B178" s="136"/>
      <c r="C178" s="137">
        <f>+C175</f>
        <v>1770244</v>
      </c>
      <c r="D178" s="137">
        <f t="shared" ref="D178:Y178" si="30">+D175</f>
        <v>1623395</v>
      </c>
      <c r="E178" s="137">
        <f t="shared" si="30"/>
        <v>0</v>
      </c>
      <c r="F178" s="137">
        <f t="shared" si="30"/>
        <v>0</v>
      </c>
      <c r="G178" s="137">
        <f t="shared" si="30"/>
        <v>0</v>
      </c>
      <c r="H178" s="137">
        <f t="shared" si="30"/>
        <v>0</v>
      </c>
      <c r="I178" s="137">
        <f t="shared" si="30"/>
        <v>0</v>
      </c>
      <c r="J178" s="137">
        <f t="shared" si="30"/>
        <v>0</v>
      </c>
      <c r="K178" s="137">
        <f>K175</f>
        <v>0</v>
      </c>
      <c r="L178" s="137">
        <f>+L175</f>
        <v>0</v>
      </c>
      <c r="M178" s="137">
        <f>+M175</f>
        <v>0</v>
      </c>
      <c r="N178" s="137">
        <f t="shared" si="30"/>
        <v>0</v>
      </c>
      <c r="O178" s="137">
        <f t="shared" si="30"/>
        <v>0</v>
      </c>
      <c r="P178" s="137">
        <f t="shared" si="30"/>
        <v>0</v>
      </c>
      <c r="Q178" s="137">
        <f t="shared" si="30"/>
        <v>0</v>
      </c>
      <c r="R178" s="137">
        <f t="shared" si="30"/>
        <v>0</v>
      </c>
      <c r="S178" s="137">
        <f t="shared" si="30"/>
        <v>0</v>
      </c>
      <c r="T178" s="137">
        <f t="shared" si="30"/>
        <v>0</v>
      </c>
      <c r="U178" s="137">
        <f t="shared" si="30"/>
        <v>0</v>
      </c>
      <c r="V178" s="137">
        <f t="shared" si="30"/>
        <v>0</v>
      </c>
      <c r="W178" s="137">
        <f t="shared" si="30"/>
        <v>0</v>
      </c>
      <c r="X178" s="137">
        <f t="shared" si="30"/>
        <v>0</v>
      </c>
      <c r="Y178" s="137">
        <f t="shared" si="30"/>
        <v>0</v>
      </c>
      <c r="Z178" s="138">
        <f>+Z175</f>
        <v>-146849</v>
      </c>
    </row>
    <row r="179" spans="1:26" ht="24" customHeight="1" x14ac:dyDescent="0.2">
      <c r="A179" s="139" t="s">
        <v>114</v>
      </c>
      <c r="B179" s="140"/>
      <c r="C179" s="44">
        <f>+C159</f>
        <v>793109</v>
      </c>
      <c r="D179" s="44">
        <v>1623395</v>
      </c>
      <c r="E179" s="44">
        <f t="shared" ref="E179:O179" si="31">+E159</f>
        <v>10724</v>
      </c>
      <c r="F179" s="44">
        <f t="shared" si="31"/>
        <v>31357</v>
      </c>
      <c r="G179" s="44">
        <f t="shared" si="31"/>
        <v>71605</v>
      </c>
      <c r="H179" s="44">
        <f t="shared" si="31"/>
        <v>0</v>
      </c>
      <c r="I179" s="44">
        <f t="shared" si="31"/>
        <v>0</v>
      </c>
      <c r="J179" s="44">
        <f>+J159</f>
        <v>0</v>
      </c>
      <c r="K179" s="44">
        <f>K159</f>
        <v>0</v>
      </c>
      <c r="L179" s="44">
        <f t="shared" si="31"/>
        <v>0</v>
      </c>
      <c r="M179" s="44">
        <f t="shared" si="31"/>
        <v>8548</v>
      </c>
      <c r="N179" s="44">
        <f t="shared" si="31"/>
        <v>33511</v>
      </c>
      <c r="O179" s="44">
        <f t="shared" si="31"/>
        <v>27036</v>
      </c>
      <c r="P179" s="44">
        <f>+P159</f>
        <v>27583</v>
      </c>
      <c r="Q179" s="44">
        <f>+Q159</f>
        <v>44502</v>
      </c>
      <c r="R179" s="44">
        <f>+R159</f>
        <v>45850</v>
      </c>
      <c r="S179" s="44">
        <f>+S159</f>
        <v>97154</v>
      </c>
      <c r="T179" s="44">
        <f>T175</f>
        <v>0</v>
      </c>
      <c r="U179" s="44">
        <f t="shared" ref="U179:Z179" si="32">+U159</f>
        <v>3408</v>
      </c>
      <c r="V179" s="44">
        <f t="shared" si="32"/>
        <v>38053</v>
      </c>
      <c r="W179" s="44">
        <f t="shared" si="32"/>
        <v>485956</v>
      </c>
      <c r="X179" s="44">
        <f t="shared" si="32"/>
        <v>15000</v>
      </c>
      <c r="Y179" s="44">
        <f t="shared" si="32"/>
        <v>940287</v>
      </c>
      <c r="Z179" s="78">
        <f t="shared" si="32"/>
        <v>73797</v>
      </c>
    </row>
    <row r="180" spans="1:26" ht="24" customHeight="1" x14ac:dyDescent="0.2">
      <c r="A180" s="139" t="s">
        <v>115</v>
      </c>
      <c r="B180" s="140"/>
      <c r="C180" s="44">
        <f>C178-C179</f>
        <v>977135</v>
      </c>
      <c r="D180" s="44">
        <f t="shared" ref="D180:Y180" si="33">D178-D179</f>
        <v>0</v>
      </c>
      <c r="E180" s="44">
        <f t="shared" si="33"/>
        <v>-10724</v>
      </c>
      <c r="F180" s="44">
        <f t="shared" si="33"/>
        <v>-31357</v>
      </c>
      <c r="G180" s="44">
        <f t="shared" si="33"/>
        <v>-71605</v>
      </c>
      <c r="H180" s="44">
        <f t="shared" si="33"/>
        <v>0</v>
      </c>
      <c r="I180" s="44">
        <f t="shared" si="33"/>
        <v>0</v>
      </c>
      <c r="J180" s="44">
        <f t="shared" si="33"/>
        <v>0</v>
      </c>
      <c r="K180" s="44">
        <f>K178-K179</f>
        <v>0</v>
      </c>
      <c r="L180" s="44">
        <f t="shared" si="33"/>
        <v>0</v>
      </c>
      <c r="M180" s="44">
        <f t="shared" si="33"/>
        <v>-8548</v>
      </c>
      <c r="N180" s="44">
        <f>N178-N179</f>
        <v>-33511</v>
      </c>
      <c r="O180" s="44">
        <f>O178-O179</f>
        <v>-27036</v>
      </c>
      <c r="P180" s="44">
        <f t="shared" si="33"/>
        <v>-27583</v>
      </c>
      <c r="Q180" s="44">
        <f t="shared" si="33"/>
        <v>-44502</v>
      </c>
      <c r="R180" s="44">
        <f t="shared" si="33"/>
        <v>-45850</v>
      </c>
      <c r="S180" s="44">
        <f t="shared" si="33"/>
        <v>-97154</v>
      </c>
      <c r="T180" s="44">
        <f t="shared" si="33"/>
        <v>0</v>
      </c>
      <c r="U180" s="44">
        <f t="shared" si="33"/>
        <v>-3408</v>
      </c>
      <c r="V180" s="44">
        <f t="shared" si="33"/>
        <v>-38053</v>
      </c>
      <c r="W180" s="44">
        <f t="shared" si="33"/>
        <v>-485956</v>
      </c>
      <c r="X180" s="44">
        <f t="shared" si="33"/>
        <v>-15000</v>
      </c>
      <c r="Y180" s="44">
        <f t="shared" si="33"/>
        <v>-940287</v>
      </c>
      <c r="Z180" s="78">
        <f>Z178+Z179</f>
        <v>-73052</v>
      </c>
    </row>
    <row r="181" spans="1:26" ht="24" customHeight="1" x14ac:dyDescent="0.2">
      <c r="A181" s="139" t="s">
        <v>116</v>
      </c>
      <c r="B181" s="140"/>
      <c r="C181" s="141">
        <f>C178/$C$178</f>
        <v>1</v>
      </c>
      <c r="D181" s="141">
        <f t="shared" ref="D181:W181" si="34">D178/$C$178</f>
        <v>0.91704589875745945</v>
      </c>
      <c r="E181" s="141">
        <f t="shared" si="34"/>
        <v>0</v>
      </c>
      <c r="F181" s="141">
        <f t="shared" si="34"/>
        <v>0</v>
      </c>
      <c r="G181" s="141">
        <f t="shared" si="34"/>
        <v>0</v>
      </c>
      <c r="H181" s="141">
        <f t="shared" si="34"/>
        <v>0</v>
      </c>
      <c r="I181" s="141">
        <f t="shared" si="34"/>
        <v>0</v>
      </c>
      <c r="J181" s="141">
        <f t="shared" si="34"/>
        <v>0</v>
      </c>
      <c r="K181" s="141">
        <f>K178/$C$178</f>
        <v>0</v>
      </c>
      <c r="L181" s="141">
        <f t="shared" si="34"/>
        <v>0</v>
      </c>
      <c r="M181" s="141">
        <f t="shared" si="34"/>
        <v>0</v>
      </c>
      <c r="N181" s="141">
        <f t="shared" si="34"/>
        <v>0</v>
      </c>
      <c r="O181" s="141">
        <f t="shared" si="34"/>
        <v>0</v>
      </c>
      <c r="P181" s="141">
        <f t="shared" si="34"/>
        <v>0</v>
      </c>
      <c r="Q181" s="141">
        <f t="shared" si="34"/>
        <v>0</v>
      </c>
      <c r="R181" s="141">
        <f t="shared" si="34"/>
        <v>0</v>
      </c>
      <c r="S181" s="141">
        <f t="shared" si="34"/>
        <v>0</v>
      </c>
      <c r="T181" s="141">
        <f t="shared" si="34"/>
        <v>0</v>
      </c>
      <c r="U181" s="141">
        <f t="shared" si="34"/>
        <v>0</v>
      </c>
      <c r="V181" s="141">
        <f t="shared" si="34"/>
        <v>0</v>
      </c>
      <c r="W181" s="141">
        <f t="shared" si="34"/>
        <v>0</v>
      </c>
      <c r="X181" s="141">
        <f>X178/$C$178</f>
        <v>0</v>
      </c>
      <c r="Y181" s="141">
        <f>Y178/$C$178</f>
        <v>0</v>
      </c>
      <c r="Z181" s="142">
        <f>Z178/$C$178</f>
        <v>-8.2954101242540573E-2</v>
      </c>
    </row>
    <row r="182" spans="1:26" ht="24" customHeight="1" thickBot="1" x14ac:dyDescent="0.25">
      <c r="A182" s="143" t="s">
        <v>117</v>
      </c>
      <c r="B182" s="144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45"/>
      <c r="R182" s="145"/>
      <c r="S182" s="145"/>
      <c r="T182" s="145"/>
      <c r="U182" s="145"/>
      <c r="V182" s="145"/>
      <c r="W182" s="145"/>
      <c r="X182" s="145"/>
      <c r="Y182" s="145"/>
      <c r="Z182" s="146"/>
    </row>
    <row r="184" spans="1:26" ht="33" customHeight="1" thickBot="1" x14ac:dyDescent="0.3">
      <c r="A184" s="172" t="s">
        <v>140</v>
      </c>
      <c r="B184" s="172"/>
      <c r="C184" s="172"/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172"/>
      <c r="T184" s="172"/>
      <c r="U184" s="172"/>
      <c r="V184" s="172"/>
      <c r="W184" s="55"/>
      <c r="X184" s="55"/>
    </row>
    <row r="185" spans="1:26" s="148" customFormat="1" ht="51.75" customHeight="1" thickBot="1" x14ac:dyDescent="0.25">
      <c r="A185" s="173"/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5"/>
      <c r="W185" s="147"/>
      <c r="X185" s="147"/>
    </row>
    <row r="186" spans="1:26" ht="24.75" customHeight="1" thickBot="1" x14ac:dyDescent="0.3">
      <c r="A186" s="170"/>
      <c r="B186" s="170"/>
      <c r="C186" s="170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0"/>
      <c r="O186" s="170"/>
      <c r="P186" s="170"/>
      <c r="Q186" s="170"/>
      <c r="R186" s="170"/>
      <c r="S186" s="170"/>
      <c r="T186" s="170"/>
      <c r="U186" s="170"/>
      <c r="V186" s="170"/>
      <c r="W186" s="55"/>
      <c r="X186" s="55"/>
    </row>
    <row r="187" spans="1:26" s="148" customFormat="1" ht="54.75" customHeight="1" thickBot="1" x14ac:dyDescent="0.25">
      <c r="A187" s="173"/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5"/>
      <c r="W187" s="147"/>
      <c r="X187" s="147"/>
    </row>
    <row r="188" spans="1:26" s="150" customFormat="1" ht="27" customHeight="1" thickBot="1" x14ac:dyDescent="0.3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49"/>
      <c r="X188" s="149"/>
    </row>
    <row r="189" spans="1:26" s="148" customFormat="1" ht="48.75" customHeight="1" thickBot="1" x14ac:dyDescent="0.25">
      <c r="A189" s="173"/>
      <c r="B189" s="177"/>
      <c r="C189" s="177"/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77"/>
      <c r="S189" s="177"/>
      <c r="T189" s="177"/>
      <c r="U189" s="177"/>
      <c r="V189" s="178"/>
      <c r="W189" s="147"/>
      <c r="X189" s="147"/>
    </row>
    <row r="190" spans="1:26" ht="23.25" customHeight="1" thickBot="1" x14ac:dyDescent="0.3">
      <c r="A190" s="170"/>
      <c r="B190" s="170"/>
      <c r="C190" s="170"/>
      <c r="D190" s="170"/>
      <c r="E190" s="170"/>
      <c r="F190" s="170"/>
      <c r="G190" s="170"/>
      <c r="H190" s="170"/>
      <c r="I190" s="170"/>
      <c r="J190" s="170"/>
      <c r="K190" s="170"/>
      <c r="L190" s="170"/>
      <c r="M190" s="170"/>
      <c r="N190" s="170"/>
      <c r="O190" s="170"/>
      <c r="P190" s="170"/>
      <c r="Q190" s="170"/>
      <c r="R190" s="170"/>
      <c r="S190" s="170"/>
      <c r="T190" s="170"/>
      <c r="U190" s="170"/>
      <c r="V190" s="170"/>
      <c r="W190" s="55"/>
      <c r="X190" s="55"/>
    </row>
    <row r="191" spans="1:26" s="148" customFormat="1" ht="38.25" customHeight="1" thickBot="1" x14ac:dyDescent="0.25">
      <c r="A191" s="173"/>
      <c r="B191" s="174"/>
      <c r="C191" s="174"/>
      <c r="D191" s="174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5"/>
      <c r="W191" s="147"/>
      <c r="X191" s="147"/>
    </row>
    <row r="192" spans="1:26" ht="33.75" customHeight="1" thickBot="1" x14ac:dyDescent="0.3">
      <c r="A192" s="170"/>
      <c r="B192" s="170"/>
      <c r="C192" s="170"/>
      <c r="D192" s="170"/>
      <c r="E192" s="170"/>
      <c r="F192" s="170"/>
      <c r="G192" s="170"/>
      <c r="H192" s="170"/>
      <c r="I192" s="170"/>
      <c r="J192" s="170"/>
      <c r="K192" s="170"/>
      <c r="L192" s="170"/>
      <c r="M192" s="170"/>
      <c r="N192" s="170"/>
      <c r="O192" s="170"/>
      <c r="P192" s="170"/>
      <c r="Q192" s="170"/>
      <c r="R192" s="170"/>
      <c r="S192" s="170"/>
      <c r="T192" s="170"/>
      <c r="U192" s="170"/>
      <c r="V192" s="170"/>
      <c r="W192" s="128"/>
      <c r="X192" s="128"/>
    </row>
    <row r="193" spans="1:24" s="148" customFormat="1" ht="35.25" customHeight="1" thickBot="1" x14ac:dyDescent="0.25">
      <c r="A193" s="173"/>
      <c r="B193" s="179"/>
      <c r="C193" s="179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80"/>
    </row>
    <row r="194" spans="1:24" ht="16.5" thickBot="1" x14ac:dyDescent="0.3">
      <c r="A194" s="170"/>
      <c r="B194" s="170"/>
      <c r="C194" s="170"/>
      <c r="D194" s="170"/>
      <c r="E194" s="170"/>
      <c r="F194" s="170"/>
      <c r="G194" s="170"/>
      <c r="H194" s="170"/>
      <c r="I194" s="170"/>
      <c r="J194" s="170"/>
      <c r="K194" s="170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  <c r="W194" s="128"/>
      <c r="X194" s="128"/>
    </row>
    <row r="195" spans="1:24" s="148" customFormat="1" ht="120" customHeight="1" thickBot="1" x14ac:dyDescent="0.25">
      <c r="A195" s="173"/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80"/>
    </row>
    <row r="196" spans="1:24" ht="16.5" thickBot="1" x14ac:dyDescent="0.3">
      <c r="A196" s="170"/>
      <c r="B196" s="170"/>
      <c r="C196" s="170"/>
      <c r="D196" s="170"/>
      <c r="E196" s="170"/>
      <c r="F196" s="170"/>
      <c r="G196" s="170"/>
      <c r="H196" s="170"/>
      <c r="I196" s="170"/>
      <c r="J196" s="170"/>
      <c r="K196" s="170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</row>
    <row r="197" spans="1:24" ht="48.75" customHeight="1" thickBot="1" x14ac:dyDescent="0.25">
      <c r="A197" s="173"/>
      <c r="B197" s="179"/>
      <c r="C197" s="179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80"/>
    </row>
    <row r="198" spans="1:24" ht="48.75" customHeight="1" thickBot="1" x14ac:dyDescent="0.25">
      <c r="A198" s="173"/>
      <c r="B198" s="177"/>
      <c r="C198" s="177"/>
      <c r="D198" s="177"/>
      <c r="E198" s="177"/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77"/>
      <c r="Q198" s="177"/>
      <c r="R198" s="177"/>
      <c r="S198" s="177"/>
      <c r="T198" s="177"/>
      <c r="U198" s="177"/>
      <c r="V198" s="178"/>
    </row>
    <row r="199" spans="1:24" ht="103.5" customHeight="1" thickBot="1" x14ac:dyDescent="0.25">
      <c r="A199" s="173"/>
      <c r="B199" s="179"/>
      <c r="C199" s="179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80"/>
    </row>
  </sheetData>
  <mergeCells count="37">
    <mergeCell ref="A199:V199"/>
    <mergeCell ref="A193:V193"/>
    <mergeCell ref="A194:V194"/>
    <mergeCell ref="A195:V195"/>
    <mergeCell ref="A196:V196"/>
    <mergeCell ref="A197:V197"/>
    <mergeCell ref="A198:V198"/>
    <mergeCell ref="A192:V192"/>
    <mergeCell ref="A139:B139"/>
    <mergeCell ref="A157:B157"/>
    <mergeCell ref="A160:V160"/>
    <mergeCell ref="A184:V184"/>
    <mergeCell ref="A185:V185"/>
    <mergeCell ref="A186:V186"/>
    <mergeCell ref="A187:V187"/>
    <mergeCell ref="A188:V188"/>
    <mergeCell ref="A189:V189"/>
    <mergeCell ref="A190:V190"/>
    <mergeCell ref="A191:V191"/>
    <mergeCell ref="A138:B138"/>
    <mergeCell ref="A95:B95"/>
    <mergeCell ref="A97:B97"/>
    <mergeCell ref="A98:B98"/>
    <mergeCell ref="A100:B100"/>
    <mergeCell ref="A110:B110"/>
    <mergeCell ref="A117:B117"/>
    <mergeCell ref="A118:B118"/>
    <mergeCell ref="A119:B119"/>
    <mergeCell ref="A127:B127"/>
    <mergeCell ref="A129:B129"/>
    <mergeCell ref="A130:B130"/>
    <mergeCell ref="A85:B85"/>
    <mergeCell ref="A6:J6"/>
    <mergeCell ref="A8:B8"/>
    <mergeCell ref="A22:A24"/>
    <mergeCell ref="A53:W53"/>
    <mergeCell ref="A84:B84"/>
  </mergeCells>
  <conditionalFormatting sqref="AA25:AA51 AA61:AA63 AA70:AA76 AA83:AA88 AA95:AA100 AA107:AA110 AA117:AA119 AA127:AA131 AA138:AA159 AA167:AA175">
    <cfRule type="cellIs" dxfId="1" priority="1" stopIfTrue="1" operator="lessThan">
      <formula>-3</formula>
    </cfRule>
    <cfRule type="cellIs" dxfId="0" priority="2" stopIfTrue="1" operator="greaterThan">
      <formula>3</formula>
    </cfRule>
  </conditionalFormatting>
  <pageMargins left="0.75" right="0.75" top="1" bottom="1" header="0.5" footer="0.5"/>
  <pageSetup scale="34" fitToHeight="0" orientation="landscape" r:id="rId1"/>
  <headerFooter alignWithMargins="0">
    <oddFooter>&amp;C&amp;"Times New Roman,Regular"Page &amp;P</oddFooter>
  </headerFooter>
  <rowBreaks count="5" manualBreakCount="5">
    <brk id="19" max="16383" man="1"/>
    <brk id="77" max="16383" man="1"/>
    <brk id="121" max="16383" man="1"/>
    <brk id="161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Operating Budget</vt:lpstr>
      <vt:lpstr>C.II.A.</vt:lpstr>
      <vt:lpstr>'Operating Budget'!Print_Area</vt:lpstr>
      <vt:lpstr>'Operating Budget'!Print_Titles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Gauss</dc:creator>
  <cp:lastModifiedBy>Lisa Bretz</cp:lastModifiedBy>
  <dcterms:created xsi:type="dcterms:W3CDTF">2021-01-27T17:41:04Z</dcterms:created>
  <dcterms:modified xsi:type="dcterms:W3CDTF">2026-10-19T18:33:36Z</dcterms:modified>
</cp:coreProperties>
</file>